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U:\PARA C.N.V\2022\Setiembre\"/>
    </mc:Choice>
  </mc:AlternateContent>
  <xr:revisionPtr revIDLastSave="0" documentId="8_{97E40B3E-EA1B-4E6D-B6EA-00EE24A78B74}" xr6:coauthVersionLast="47" xr6:coauthVersionMax="47" xr10:uidLastSave="{00000000-0000-0000-0000-000000000000}"/>
  <bookViews>
    <workbookView xWindow="-120" yWindow="-120" windowWidth="20730" windowHeight="11160" tabRatio="920" firstSheet="32" activeTab="46" xr2:uid="{00000000-000D-0000-FFFF-FFFF00000000}"/>
  </bookViews>
  <sheets>
    <sheet name="Caratula" sheetId="74" r:id="rId1"/>
    <sheet name="Indice" sheetId="16" r:id="rId2"/>
    <sheet name="BG" sheetId="25" r:id="rId3"/>
    <sheet name="EVPN" sheetId="24" r:id="rId4"/>
    <sheet name="ER" sheetId="19"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75" r:id="rId16"/>
    <sheet name="cred" sheetId="9" state="hidden"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77" r:id="rId30"/>
    <sheet name="Nota 24" sheetId="7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 name="Base de Monedas" sheetId="79" r:id="rId48"/>
  </sheets>
  <externalReferences>
    <externalReference r:id="rId49"/>
    <externalReference r:id="rId50"/>
  </externalReferences>
  <definedNames>
    <definedName name="_xlnm._FilterDatabase" localSheetId="20" hidden="1">'Nota 14'!$A$6:$F$22</definedName>
    <definedName name="_xlnm._FilterDatabase" localSheetId="7" hidden="1">'Nota 2'!$A$10:$I$18</definedName>
    <definedName name="_Hlk15378568" localSheetId="7">'Nota 2'!#REF!</definedName>
    <definedName name="_xlnm.Print_Area" localSheetId="4">ER!$A$1:$D$54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8" i="72" l="1"/>
  <c r="B148" i="72"/>
  <c r="C132" i="72"/>
  <c r="B10" i="67" l="1"/>
  <c r="B70" i="72" l="1"/>
  <c r="B67" i="72"/>
  <c r="B49" i="72"/>
  <c r="B46" i="72"/>
  <c r="C9" i="53"/>
  <c r="B9" i="53"/>
  <c r="B34" i="53" s="1"/>
  <c r="B30" i="23"/>
  <c r="B40" i="23" s="1"/>
  <c r="Y37" i="24" l="1"/>
  <c r="E44" i="25"/>
  <c r="B33" i="12"/>
  <c r="B40" i="75"/>
  <c r="B46" i="5" l="1"/>
  <c r="B53" i="53" l="1"/>
  <c r="B64" i="53" s="1"/>
  <c r="C31" i="65"/>
  <c r="C32" i="65"/>
  <c r="C21" i="65"/>
  <c r="C20" i="65"/>
  <c r="C19" i="65"/>
  <c r="C15" i="65"/>
  <c r="C13" i="65"/>
  <c r="C9" i="65"/>
  <c r="C25" i="65"/>
  <c r="C12" i="65"/>
  <c r="C8" i="65"/>
  <c r="C10" i="65"/>
  <c r="C16" i="65"/>
  <c r="C28" i="65"/>
  <c r="C27" i="65"/>
  <c r="C18" i="65"/>
  <c r="C14" i="65"/>
  <c r="B21" i="65"/>
  <c r="B31" i="65" s="1"/>
  <c r="B20" i="65"/>
  <c r="B23" i="65"/>
  <c r="B19" i="65"/>
  <c r="B12" i="65"/>
  <c r="B16" i="65"/>
  <c r="B15" i="65"/>
  <c r="B13" i="65"/>
  <c r="B10" i="65"/>
  <c r="B9" i="65"/>
  <c r="B8" i="65"/>
  <c r="B8" i="50" l="1"/>
  <c r="E29" i="8"/>
  <c r="I49" i="66"/>
  <c r="D49" i="66"/>
  <c r="C49" i="66"/>
  <c r="C43" i="66"/>
  <c r="F43" i="66"/>
  <c r="H50" i="66"/>
  <c r="C50" i="66"/>
  <c r="H37" i="66"/>
  <c r="H36" i="66"/>
  <c r="H35" i="66"/>
  <c r="L34" i="66"/>
  <c r="H34" i="66"/>
  <c r="H33" i="66"/>
  <c r="C32" i="66"/>
  <c r="H32" i="66"/>
  <c r="H31" i="66" l="1"/>
  <c r="H30" i="66"/>
  <c r="D30" i="66"/>
  <c r="C30" i="66"/>
  <c r="H26" i="66"/>
  <c r="D24" i="66"/>
  <c r="C24" i="66"/>
  <c r="C23" i="66"/>
  <c r="H25" i="66"/>
  <c r="H23" i="66"/>
  <c r="D23" i="66"/>
  <c r="H22" i="66"/>
  <c r="C22" i="66"/>
  <c r="D22" i="66"/>
  <c r="C14" i="44"/>
  <c r="B14" i="44"/>
  <c r="B25" i="46"/>
  <c r="A1" i="53"/>
  <c r="F17" i="53"/>
  <c r="G17" i="53"/>
  <c r="C34" i="53"/>
  <c r="B41" i="53"/>
  <c r="C41" i="53"/>
  <c r="C64" i="53"/>
  <c r="C70" i="53" s="1"/>
  <c r="B69" i="53"/>
  <c r="B70" i="53" s="1"/>
  <c r="C69" i="53"/>
  <c r="F13" i="52"/>
  <c r="F8" i="52"/>
  <c r="C42" i="53" l="1"/>
  <c r="B42" i="53"/>
  <c r="G12" i="4" l="1"/>
  <c r="G16" i="4" s="1"/>
  <c r="H21" i="66"/>
  <c r="H20" i="66"/>
  <c r="C20" i="66"/>
  <c r="H19" i="66"/>
  <c r="C19" i="66"/>
  <c r="K18" i="66"/>
  <c r="H18" i="66"/>
  <c r="D18" i="66"/>
  <c r="C18" i="66"/>
  <c r="B31" i="7"/>
  <c r="B8" i="7"/>
  <c r="B15" i="7"/>
  <c r="B14" i="7"/>
  <c r="B11" i="7"/>
  <c r="B10" i="7"/>
  <c r="F11" i="5"/>
  <c r="E24" i="25" s="1"/>
  <c r="G11" i="5"/>
  <c r="F24" i="25" s="1"/>
  <c r="C7" i="4"/>
  <c r="C25" i="4"/>
  <c r="C45" i="4" l="1"/>
  <c r="C43" i="4"/>
  <c r="C26" i="4" s="1"/>
  <c r="C37" i="4"/>
  <c r="C11" i="4"/>
  <c r="C15" i="4"/>
  <c r="C10" i="4"/>
  <c r="C8" i="4" s="1"/>
  <c r="B23" i="38" l="1"/>
  <c r="C9" i="3"/>
  <c r="C8" i="3"/>
  <c r="M53" i="66"/>
  <c r="C9" i="64" l="1"/>
  <c r="B9" i="64"/>
  <c r="C18" i="50" l="1"/>
  <c r="B109" i="72" l="1"/>
  <c r="B104" i="72"/>
  <c r="B99" i="72"/>
  <c r="B92" i="72"/>
  <c r="G26" i="52" l="1"/>
  <c r="D26" i="19" s="1"/>
  <c r="F26" i="52"/>
  <c r="C26" i="19" s="1"/>
  <c r="G13" i="52"/>
  <c r="D20" i="19" s="1"/>
  <c r="C20" i="19"/>
  <c r="B7" i="47" l="1"/>
  <c r="B7" i="14"/>
  <c r="B14" i="12"/>
  <c r="E22" i="8" l="1"/>
  <c r="D12" i="8" l="1"/>
  <c r="B20" i="44" l="1"/>
  <c r="H51" i="66" l="1"/>
  <c r="C35" i="66"/>
  <c r="B33" i="66"/>
  <c r="K32" i="66"/>
  <c r="C25" i="66" l="1"/>
  <c r="I18" i="66" l="1"/>
  <c r="B32" i="7"/>
  <c r="A1" i="4"/>
  <c r="C23" i="38"/>
  <c r="E56" i="25" l="1"/>
  <c r="C11" i="12"/>
  <c r="D27" i="8"/>
  <c r="A1" i="8"/>
  <c r="D10" i="8"/>
  <c r="J10" i="8"/>
  <c r="D11" i="8"/>
  <c r="J11" i="8"/>
  <c r="D13" i="8"/>
  <c r="J13" i="8"/>
  <c r="D14" i="8"/>
  <c r="E14" i="8"/>
  <c r="J14" i="8"/>
  <c r="K14" i="8"/>
  <c r="D15" i="8"/>
  <c r="J15" i="8"/>
  <c r="D16" i="8"/>
  <c r="J16" i="8"/>
  <c r="D20" i="8"/>
  <c r="J22" i="8"/>
  <c r="K22" i="8"/>
  <c r="D26" i="8"/>
  <c r="K29" i="8"/>
  <c r="D30" i="8"/>
  <c r="K30" i="8" l="1"/>
  <c r="E30" i="8"/>
  <c r="Q33" i="24" l="1"/>
  <c r="Y14" i="24" l="1"/>
  <c r="Y25" i="24"/>
  <c r="V16" i="24"/>
  <c r="C16" i="24" l="1"/>
  <c r="B18" i="51"/>
  <c r="C11" i="50" l="1"/>
  <c r="A11" i="62"/>
  <c r="A6" i="62"/>
  <c r="A14" i="60" l="1"/>
  <c r="A7" i="60"/>
  <c r="B32" i="65" l="1"/>
  <c r="C13" i="19" s="1"/>
  <c r="E32" i="65"/>
  <c r="D31" i="65" l="1"/>
  <c r="C15" i="47" l="1"/>
  <c r="B45" i="75"/>
  <c r="C68" i="75" l="1"/>
  <c r="K50" i="66"/>
  <c r="B49" i="66"/>
  <c r="F49" i="66" s="1"/>
  <c r="B36" i="66"/>
  <c r="B35" i="66"/>
  <c r="B34" i="66"/>
  <c r="B32" i="66"/>
  <c r="B30" i="66"/>
  <c r="M51" i="66"/>
  <c r="B18" i="7" l="1"/>
  <c r="C17" i="4"/>
  <c r="D16" i="67" l="1"/>
  <c r="D15" i="67"/>
  <c r="E21" i="67" l="1"/>
  <c r="C30" i="67" l="1"/>
  <c r="C29" i="67"/>
  <c r="C28" i="67"/>
  <c r="C27" i="67"/>
  <c r="D27" i="67" s="1"/>
  <c r="C27" i="52" l="1"/>
  <c r="D25" i="19" s="1"/>
  <c r="B27" i="52"/>
  <c r="C25" i="19" s="1"/>
  <c r="Q39" i="24"/>
  <c r="C10" i="54" l="1"/>
  <c r="Y32" i="24" l="1"/>
  <c r="B10" i="54" l="1"/>
  <c r="C23" i="19" s="1"/>
  <c r="E27" i="67"/>
  <c r="B11" i="64" l="1"/>
  <c r="C11" i="64"/>
  <c r="B22" i="51"/>
  <c r="B59" i="75"/>
  <c r="C39" i="24"/>
  <c r="F32" i="65" l="1"/>
  <c r="B9" i="47" l="1"/>
  <c r="K49" i="66" l="1"/>
  <c r="B32" i="10" l="1"/>
  <c r="C46" i="4" l="1"/>
  <c r="C16" i="3"/>
  <c r="D16" i="19" l="1"/>
  <c r="D30" i="67" l="1"/>
  <c r="E30" i="67" s="1"/>
  <c r="D29" i="67"/>
  <c r="E29" i="67" l="1"/>
  <c r="D31" i="67"/>
  <c r="D32" i="67"/>
  <c r="A1" i="67"/>
  <c r="C30" i="23" l="1"/>
  <c r="B46" i="46" l="1"/>
  <c r="B61" i="75" l="1"/>
  <c r="B44" i="75"/>
  <c r="K30" i="66"/>
  <c r="F18" i="66"/>
  <c r="C34" i="67"/>
  <c r="D34" i="67" s="1"/>
  <c r="F34" i="67" s="1"/>
  <c r="C33" i="67"/>
  <c r="D33" i="67" l="1"/>
  <c r="F33" i="67" s="1"/>
  <c r="C35" i="67"/>
  <c r="C16" i="19" l="1"/>
  <c r="D19" i="65" l="1"/>
  <c r="C18" i="51" l="1"/>
  <c r="K19" i="66" l="1"/>
  <c r="T31" i="24" l="1"/>
  <c r="E52" i="25" l="1"/>
  <c r="B20" i="23" l="1"/>
  <c r="C32" i="10" l="1"/>
  <c r="F19" i="66"/>
  <c r="B88" i="5"/>
  <c r="C46" i="5"/>
  <c r="L18" i="66" l="1"/>
  <c r="O39" i="24" l="1"/>
  <c r="K39" i="24"/>
  <c r="I39" i="24"/>
  <c r="G39" i="24"/>
  <c r="E39" i="24"/>
  <c r="T39" i="24"/>
  <c r="Q16" i="24"/>
  <c r="O16" i="24"/>
  <c r="O27" i="24" s="1"/>
  <c r="M16" i="24"/>
  <c r="M27" i="24" s="1"/>
  <c r="K16" i="24"/>
  <c r="K27" i="24" s="1"/>
  <c r="I16" i="24"/>
  <c r="I27" i="24" s="1"/>
  <c r="G16" i="24"/>
  <c r="E16" i="24"/>
  <c r="C27" i="24"/>
  <c r="G27" i="24" l="1"/>
  <c r="E27" i="24"/>
  <c r="F58" i="25"/>
  <c r="F56" i="25"/>
  <c r="C7" i="77" l="1"/>
  <c r="B7" i="77"/>
  <c r="A1" i="78"/>
  <c r="F55" i="25" l="1"/>
  <c r="E55" i="25"/>
  <c r="C13" i="77"/>
  <c r="B13" i="77"/>
  <c r="A1" i="77"/>
  <c r="M52" i="66"/>
  <c r="D10" i="19" l="1"/>
  <c r="B14" i="14"/>
  <c r="A1" i="48"/>
  <c r="F52" i="25"/>
  <c r="C13" i="45"/>
  <c r="B13" i="45"/>
  <c r="M38" i="66" l="1"/>
  <c r="D17" i="4"/>
  <c r="F12" i="25" s="1"/>
  <c r="C88" i="5" l="1"/>
  <c r="F15" i="25" s="1"/>
  <c r="C68" i="5"/>
  <c r="B68" i="5"/>
  <c r="E15" i="25" s="1"/>
  <c r="D46" i="4"/>
  <c r="F20" i="25" s="1"/>
  <c r="E12" i="25" l="1"/>
  <c r="E20" i="25" l="1"/>
  <c r="A1" i="56"/>
  <c r="B13" i="52" l="1"/>
  <c r="A1" i="19"/>
  <c r="B18" i="50" l="1"/>
  <c r="D9" i="19" l="1"/>
  <c r="A1" i="50"/>
  <c r="B51" i="75"/>
  <c r="F37" i="25"/>
  <c r="B21" i="44"/>
  <c r="F35" i="25" l="1"/>
  <c r="B44" i="66"/>
  <c r="F26" i="66" l="1"/>
  <c r="C18" i="7"/>
  <c r="B24" i="7"/>
  <c r="F11" i="25" l="1"/>
  <c r="C13" i="52" l="1"/>
  <c r="D23" i="19" l="1"/>
  <c r="M29" i="24" l="1"/>
  <c r="Y29" i="24" s="1"/>
  <c r="M39" i="24" l="1"/>
  <c r="V30" i="24"/>
  <c r="V39" i="24" l="1"/>
  <c r="Y30" i="24"/>
  <c r="B34" i="75"/>
  <c r="B33" i="75"/>
  <c r="B32" i="75"/>
  <c r="B31" i="75"/>
  <c r="B30" i="75"/>
  <c r="B29" i="75"/>
  <c r="B28" i="75"/>
  <c r="B27" i="75"/>
  <c r="B24" i="75"/>
  <c r="B22" i="75"/>
  <c r="B68" i="75" l="1"/>
  <c r="A1" i="10"/>
  <c r="A1" i="75"/>
  <c r="A1" i="5"/>
  <c r="A1" i="38"/>
  <c r="A1" i="3"/>
  <c r="E45" i="25"/>
  <c r="C33" i="12"/>
  <c r="F44" i="25" s="1"/>
  <c r="F45" i="25" s="1"/>
  <c r="A1" i="7" l="1"/>
  <c r="A1" i="24"/>
  <c r="C1" i="25"/>
  <c r="A1" i="41"/>
  <c r="E49" i="25"/>
  <c r="B15" i="47" l="1"/>
  <c r="E51" i="25" l="1"/>
  <c r="B51" i="66"/>
  <c r="K21" i="66"/>
  <c r="F22" i="66" l="1"/>
  <c r="D28" i="67"/>
  <c r="E28" i="67" s="1"/>
  <c r="C24" i="7"/>
  <c r="F35" i="67" l="1"/>
  <c r="D30" i="65"/>
  <c r="D28" i="65"/>
  <c r="D27" i="65"/>
  <c r="D25" i="65"/>
  <c r="F27" i="25" l="1"/>
  <c r="E27" i="25" l="1"/>
  <c r="D24" i="19" l="1"/>
  <c r="D27" i="19" s="1"/>
  <c r="C36" i="46" l="1"/>
  <c r="Q20" i="24"/>
  <c r="Q27" i="24" s="1"/>
  <c r="C20" i="23" l="1"/>
  <c r="B9" i="69" l="1"/>
  <c r="C32" i="19" s="1"/>
  <c r="D8" i="19" l="1"/>
  <c r="D11" i="19" s="1"/>
  <c r="B11" i="50"/>
  <c r="E50" i="25" l="1"/>
  <c r="E57" i="25" s="1"/>
  <c r="E59" i="25" s="1"/>
  <c r="B36" i="46"/>
  <c r="B37" i="46" s="1"/>
  <c r="C25" i="46"/>
  <c r="K35" i="66" l="1"/>
  <c r="B33" i="7" l="1"/>
  <c r="B34" i="7" s="1"/>
  <c r="E23" i="25" s="1"/>
  <c r="B54" i="5"/>
  <c r="B55" i="5" s="1"/>
  <c r="C54" i="5"/>
  <c r="C55" i="5" s="1"/>
  <c r="F13" i="25" s="1"/>
  <c r="E13" i="25" l="1"/>
  <c r="E11" i="25"/>
  <c r="C9" i="69" l="1"/>
  <c r="B38" i="23" l="1"/>
  <c r="C38" i="23" l="1"/>
  <c r="C43" i="23" l="1"/>
  <c r="C10" i="19"/>
  <c r="C11" i="19" s="1"/>
  <c r="C19" i="19" l="1"/>
  <c r="C21" i="19" s="1"/>
  <c r="D19" i="19"/>
  <c r="A1" i="52"/>
  <c r="B43" i="23" l="1"/>
  <c r="D39" i="24"/>
  <c r="Y34" i="24"/>
  <c r="H27" i="24"/>
  <c r="H29" i="24" s="1"/>
  <c r="Y24" i="24"/>
  <c r="Y22" i="24"/>
  <c r="Y21" i="24"/>
  <c r="Y20" i="24"/>
  <c r="V19" i="24"/>
  <c r="Y18" i="24"/>
  <c r="T17" i="24"/>
  <c r="W16" i="24"/>
  <c r="W27" i="24" s="1"/>
  <c r="T16" i="24"/>
  <c r="Y16" i="24" s="1"/>
  <c r="Y19" i="24" l="1"/>
  <c r="Y17" i="24"/>
  <c r="T27" i="24"/>
  <c r="W29" i="24"/>
  <c r="Y39" i="24" s="1"/>
  <c r="W39" i="24"/>
  <c r="E37" i="25" l="1"/>
  <c r="C36" i="10" l="1"/>
  <c r="C38" i="10" s="1"/>
  <c r="F34" i="25" s="1"/>
  <c r="B36" i="10"/>
  <c r="B38" i="10" s="1"/>
  <c r="C28" i="41"/>
  <c r="B23" i="41"/>
  <c r="B28" i="41" s="1"/>
  <c r="C20" i="41"/>
  <c r="I51" i="66"/>
  <c r="G51" i="66"/>
  <c r="F50" i="66"/>
  <c r="D51" i="66"/>
  <c r="K47" i="66"/>
  <c r="J47" i="66"/>
  <c r="I47" i="66"/>
  <c r="H47" i="66"/>
  <c r="G47" i="66"/>
  <c r="E47" i="66"/>
  <c r="D47" i="66"/>
  <c r="C47" i="66"/>
  <c r="B47" i="66"/>
  <c r="B52" i="66" s="1"/>
  <c r="F46" i="66"/>
  <c r="L46" i="66" s="1"/>
  <c r="L47" i="66" s="1"/>
  <c r="I44" i="66"/>
  <c r="H44" i="66"/>
  <c r="G44" i="66"/>
  <c r="D44" i="66"/>
  <c r="C44" i="66"/>
  <c r="K43" i="66"/>
  <c r="F44" i="66"/>
  <c r="I38" i="66"/>
  <c r="H38" i="66"/>
  <c r="G38" i="66"/>
  <c r="K37" i="66"/>
  <c r="F37" i="66"/>
  <c r="K36" i="66"/>
  <c r="K34" i="66"/>
  <c r="F34" i="66"/>
  <c r="K33" i="66"/>
  <c r="F32" i="66"/>
  <c r="K31" i="66"/>
  <c r="D38" i="66"/>
  <c r="M27" i="66"/>
  <c r="I27" i="66"/>
  <c r="H27" i="66"/>
  <c r="G27" i="66"/>
  <c r="D27" i="66"/>
  <c r="B27" i="66"/>
  <c r="K26" i="66"/>
  <c r="K25" i="66"/>
  <c r="F25" i="66"/>
  <c r="K24" i="66"/>
  <c r="F24" i="66"/>
  <c r="K23" i="66"/>
  <c r="F23" i="66"/>
  <c r="K22" i="66"/>
  <c r="F21" i="66"/>
  <c r="L21" i="66" s="1"/>
  <c r="K20" i="66"/>
  <c r="F20" i="66"/>
  <c r="F21" i="67"/>
  <c r="E32" i="67"/>
  <c r="E31" i="67"/>
  <c r="D13" i="67"/>
  <c r="C33" i="7"/>
  <c r="C75" i="5"/>
  <c r="B75" i="5"/>
  <c r="D16" i="3"/>
  <c r="D10" i="3"/>
  <c r="C10" i="3"/>
  <c r="F50" i="25"/>
  <c r="F26" i="25"/>
  <c r="E26" i="25"/>
  <c r="C29" i="41" l="1"/>
  <c r="F25" i="25" s="1"/>
  <c r="C34" i="7"/>
  <c r="F23" i="25"/>
  <c r="K44" i="66"/>
  <c r="L43" i="66"/>
  <c r="C17" i="3"/>
  <c r="E10" i="25" s="1"/>
  <c r="E35" i="67"/>
  <c r="L50" i="66"/>
  <c r="E21" i="25"/>
  <c r="E34" i="25"/>
  <c r="E35" i="25"/>
  <c r="L25" i="66"/>
  <c r="L24" i="66"/>
  <c r="F30" i="66"/>
  <c r="L30" i="66" s="1"/>
  <c r="B20" i="41"/>
  <c r="B29" i="41" s="1"/>
  <c r="K51" i="66"/>
  <c r="K52" i="66" s="1"/>
  <c r="L22" i="66"/>
  <c r="L32" i="66"/>
  <c r="D52" i="66"/>
  <c r="D53" i="66" s="1"/>
  <c r="L23" i="66"/>
  <c r="F33" i="66"/>
  <c r="L33" i="66" s="1"/>
  <c r="F36" i="66"/>
  <c r="L36" i="66" s="1"/>
  <c r="C25" i="7"/>
  <c r="F14" i="25" s="1"/>
  <c r="L20" i="66"/>
  <c r="C27" i="66"/>
  <c r="K38" i="66"/>
  <c r="L37" i="66"/>
  <c r="G52" i="66"/>
  <c r="G53" i="66" s="1"/>
  <c r="C51" i="66"/>
  <c r="C52" i="66" s="1"/>
  <c r="D17" i="3"/>
  <c r="F10" i="25" s="1"/>
  <c r="B25" i="7"/>
  <c r="C38" i="66"/>
  <c r="H52" i="66"/>
  <c r="H53" i="66" s="1"/>
  <c r="L19" i="66"/>
  <c r="F35" i="66"/>
  <c r="L35" i="66" s="1"/>
  <c r="I52" i="66"/>
  <c r="I53" i="66" s="1"/>
  <c r="K27" i="66"/>
  <c r="L26" i="66"/>
  <c r="F27" i="66"/>
  <c r="B38" i="66"/>
  <c r="L49" i="66"/>
  <c r="F31" i="66"/>
  <c r="L31" i="66" s="1"/>
  <c r="F47" i="66"/>
  <c r="L44" i="66" l="1"/>
  <c r="N43" i="66"/>
  <c r="L51" i="66"/>
  <c r="L52" i="66" s="1"/>
  <c r="F16" i="25"/>
  <c r="F21" i="25"/>
  <c r="E14" i="25"/>
  <c r="E16" i="25" s="1"/>
  <c r="L38" i="66"/>
  <c r="F22" i="25"/>
  <c r="C53" i="66"/>
  <c r="B53" i="66"/>
  <c r="K53" i="66"/>
  <c r="L27" i="66"/>
  <c r="F51" i="66"/>
  <c r="F52" i="66" s="1"/>
  <c r="F38" i="66"/>
  <c r="L53" i="66" l="1"/>
  <c r="E22" i="25" s="1"/>
  <c r="C24" i="19"/>
  <c r="C27" i="19" s="1"/>
  <c r="F28" i="25"/>
  <c r="F30" i="25" s="1"/>
  <c r="E25" i="25"/>
  <c r="F53" i="66"/>
  <c r="A1" i="2"/>
  <c r="E28" i="25" l="1"/>
  <c r="D22" i="65"/>
  <c r="G22" i="65"/>
  <c r="C14" i="14"/>
  <c r="F49" i="25" s="1"/>
  <c r="E30" i="25" l="1"/>
  <c r="C9" i="47"/>
  <c r="C31" i="47"/>
  <c r="B31" i="47"/>
  <c r="B38" i="47" s="1"/>
  <c r="F51" i="25"/>
  <c r="F57" i="25" s="1"/>
  <c r="F59" i="25" s="1"/>
  <c r="C38" i="47" l="1"/>
  <c r="D15" i="19" l="1"/>
  <c r="D14" i="19" l="1"/>
  <c r="G9" i="65"/>
  <c r="G21" i="65"/>
  <c r="D13" i="19" l="1"/>
  <c r="D17" i="19" s="1"/>
  <c r="G31" i="65"/>
  <c r="D21" i="65"/>
  <c r="D9" i="65" l="1"/>
  <c r="D8" i="65"/>
  <c r="D11" i="65" l="1"/>
  <c r="D12" i="65"/>
  <c r="C14" i="19" l="1"/>
  <c r="C9" i="19"/>
  <c r="C8" i="19" l="1"/>
  <c r="C14" i="9"/>
  <c r="B14" i="9"/>
  <c r="A1" i="9"/>
  <c r="A1" i="44"/>
  <c r="A1" i="45"/>
  <c r="C24" i="12"/>
  <c r="C19" i="12"/>
  <c r="C14" i="12"/>
  <c r="B19" i="12"/>
  <c r="B24" i="12"/>
  <c r="B50" i="46"/>
  <c r="C50" i="46"/>
  <c r="C46" i="46"/>
  <c r="C37" i="46"/>
  <c r="B25" i="12" l="1"/>
  <c r="E39" i="25" s="1"/>
  <c r="B51" i="46"/>
  <c r="B52" i="46" s="1"/>
  <c r="C51" i="46"/>
  <c r="C52" i="46" s="1"/>
  <c r="F38" i="25" s="1"/>
  <c r="C25" i="12"/>
  <c r="F39" i="25" s="1"/>
  <c r="C20" i="44"/>
  <c r="E36" i="25" l="1"/>
  <c r="E38" i="25"/>
  <c r="C21" i="44"/>
  <c r="F36" i="25" s="1"/>
  <c r="F40" i="25" s="1"/>
  <c r="F47" i="25" l="1"/>
  <c r="E40" i="25"/>
  <c r="A1" i="63"/>
  <c r="A1" i="70"/>
  <c r="A1" i="62"/>
  <c r="A1" i="60"/>
  <c r="A1" i="64"/>
  <c r="A1" i="57"/>
  <c r="A1" i="69"/>
  <c r="A1" i="55"/>
  <c r="A1" i="54"/>
  <c r="A1" i="65"/>
  <c r="A1" i="51"/>
  <c r="A1" i="47"/>
  <c r="A1" i="14"/>
  <c r="A1" i="12"/>
  <c r="A1" i="46"/>
  <c r="A1" i="43"/>
  <c r="A1" i="42"/>
  <c r="A1" i="23"/>
  <c r="E47" i="25" l="1"/>
  <c r="E60" i="25" s="1"/>
  <c r="C10" i="57"/>
  <c r="D36" i="19" s="1"/>
  <c r="B10" i="57"/>
  <c r="C36" i="19" s="1"/>
  <c r="B13" i="56"/>
  <c r="C13" i="56"/>
  <c r="D32" i="19"/>
  <c r="G30" i="65"/>
  <c r="G29" i="65"/>
  <c r="G28" i="65"/>
  <c r="G27" i="65"/>
  <c r="G26" i="65"/>
  <c r="G25" i="65"/>
  <c r="G24" i="65"/>
  <c r="G23" i="65"/>
  <c r="G20" i="65"/>
  <c r="G19" i="65"/>
  <c r="G18" i="65"/>
  <c r="G17" i="65"/>
  <c r="G16" i="65"/>
  <c r="G15" i="65"/>
  <c r="G14" i="65"/>
  <c r="G13" i="65"/>
  <c r="G12" i="65"/>
  <c r="G11" i="65"/>
  <c r="G10" i="65"/>
  <c r="G8" i="65"/>
  <c r="D13" i="65"/>
  <c r="D14" i="65"/>
  <c r="D15" i="65"/>
  <c r="D16" i="65"/>
  <c r="D17" i="65"/>
  <c r="D18" i="65"/>
  <c r="D20" i="65"/>
  <c r="D23" i="65"/>
  <c r="D24" i="65"/>
  <c r="D26" i="65"/>
  <c r="D29" i="65"/>
  <c r="D10" i="65"/>
  <c r="D32" i="65" l="1"/>
  <c r="G32" i="65"/>
  <c r="C22" i="47"/>
  <c r="B22" i="47"/>
  <c r="C12" i="43"/>
  <c r="B12" i="43"/>
  <c r="C11" i="42" l="1"/>
  <c r="B11" i="42"/>
  <c r="F60" i="25" l="1"/>
  <c r="D21" i="19" l="1"/>
  <c r="D29" i="19" s="1"/>
  <c r="C15" i="19" l="1"/>
  <c r="C17" i="19" l="1"/>
  <c r="C29" i="19" s="1"/>
  <c r="D34" i="19"/>
  <c r="D38" i="19" s="1"/>
  <c r="D39" i="19" s="1"/>
  <c r="C34" i="19" l="1"/>
  <c r="C38" i="19" s="1"/>
  <c r="C39"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Valdez</author>
  </authors>
  <commentList>
    <comment ref="A36" authorId="0" shapeId="0" xr:uid="{00000000-0006-0000-2000-000001000000}">
      <text>
        <r>
          <rPr>
            <b/>
            <sz val="9"/>
            <color indexed="81"/>
            <rFont val="Tahoma"/>
            <family val="2"/>
          </rPr>
          <t>Laura Valdez:</t>
        </r>
        <r>
          <rPr>
            <sz val="9"/>
            <color indexed="81"/>
            <rFont val="Tahoma"/>
            <family val="2"/>
          </rPr>
          <t xml:space="preserve">
RECLASIFICACION DE VACAS</t>
        </r>
      </text>
    </comment>
  </commentList>
</comments>
</file>

<file path=xl/sharedStrings.xml><?xml version="1.0" encoding="utf-8"?>
<sst xmlns="http://schemas.openxmlformats.org/spreadsheetml/2006/main" count="1889" uniqueCount="1436">
  <si>
    <r>
      <t xml:space="preserve"> </t>
    </r>
    <r>
      <rPr>
        <b/>
        <sz val="11"/>
        <color theme="1"/>
        <rFont val="Arial"/>
        <family val="2"/>
      </rPr>
      <t>E S T  A  D  O  S      C  O  N  T  A  B  L  E  S</t>
    </r>
    <r>
      <rPr>
        <sz val="11"/>
        <color theme="1"/>
        <rFont val="Arial"/>
        <family val="2"/>
      </rPr>
      <t xml:space="preserve">              </t>
    </r>
  </si>
  <si>
    <t>DENOMINACION:   NICOLAS GONZALEZ ODDONE S.A.E.C.A.</t>
  </si>
  <si>
    <t>DOMICÍLIO LEGAL: DOMINICANA ESQUINA VIA FERREA</t>
  </si>
  <si>
    <t>ACTIVIDAD PRINCIPAL:  IMPORTACIONES</t>
  </si>
  <si>
    <t>INSCRIPCION EN EL REGISTRO PUBLICO DE COMERCIO Nº 106 DEL 03/06/64 Y Nº 186 DEL 11/04/96 DE LOS ESTATUTOS SOCIALES Y SUS MODIFICACIONES. -</t>
  </si>
  <si>
    <t>INSCRIPCION EN LA COMISION NACIONAL DE VALORES: N.º 058 RESOL. Nº 270/96</t>
  </si>
  <si>
    <t>FECHA DE VENCIMIENTO DEL ESTATUTO SOCIAL:  AÑO 2094</t>
  </si>
  <si>
    <t>NICOLAS GONZALEZ ODDONE S.A.E.C.A</t>
  </si>
  <si>
    <t xml:space="preserve">                                 ESTADOS CONTABLES AL 31/03/2020</t>
  </si>
  <si>
    <t>ESTADOS CONTABLES AL 30/09/2022</t>
  </si>
  <si>
    <t>INDICE</t>
  </si>
  <si>
    <t>REF.</t>
  </si>
  <si>
    <t>Informacion General</t>
  </si>
  <si>
    <t>Descripción de la naturaleza y del negocio de la Sociedad</t>
  </si>
  <si>
    <t>Nota 1</t>
  </si>
  <si>
    <t>Resumen de las principales políticas contables</t>
  </si>
  <si>
    <t>Nota 2</t>
  </si>
  <si>
    <t>Balance General</t>
  </si>
  <si>
    <t>BG</t>
  </si>
  <si>
    <t>Efectivo y equivalente de efectivo</t>
  </si>
  <si>
    <t>Nota 3</t>
  </si>
  <si>
    <t>Inversiones temporales</t>
  </si>
  <si>
    <t>Nota 4</t>
  </si>
  <si>
    <t>Cuentas por cobrar comerciales</t>
  </si>
  <si>
    <t>Nota 5</t>
  </si>
  <si>
    <t>Otros créditos</t>
  </si>
  <si>
    <t>Nota 6</t>
  </si>
  <si>
    <t>Inventarios</t>
  </si>
  <si>
    <t>Nota 7</t>
  </si>
  <si>
    <t>Inversión en asociadas</t>
  </si>
  <si>
    <t>Nota 8</t>
  </si>
  <si>
    <t>Propiedades, planta y equipo</t>
  </si>
  <si>
    <t>Nota 9</t>
  </si>
  <si>
    <t>Activos disponibles para la venta</t>
  </si>
  <si>
    <t>Nota 10</t>
  </si>
  <si>
    <t>Activos intangibles</t>
  </si>
  <si>
    <t>Nota 11</t>
  </si>
  <si>
    <t>Goodwill</t>
  </si>
  <si>
    <t>Nota 12</t>
  </si>
  <si>
    <t>Otros Activos</t>
  </si>
  <si>
    <t>Nota 41</t>
  </si>
  <si>
    <t>Cuentas por pagar proveedores</t>
  </si>
  <si>
    <t>Nota 13</t>
  </si>
  <si>
    <t>Préstamos a corto plazo</t>
  </si>
  <si>
    <t>Nota 14</t>
  </si>
  <si>
    <t>Porción corriente de la deuda a largo plazo</t>
  </si>
  <si>
    <t>Nota 15</t>
  </si>
  <si>
    <t>Remuneraciones y cargas sociales a pagar</t>
  </si>
  <si>
    <t>Nota 16</t>
  </si>
  <si>
    <t>Impuestos a pagar</t>
  </si>
  <si>
    <t>Nota 17</t>
  </si>
  <si>
    <t>Provisiones</t>
  </si>
  <si>
    <t>Nota 18</t>
  </si>
  <si>
    <t>Otros pasivos corrientes</t>
  </si>
  <si>
    <t>Nota 19</t>
  </si>
  <si>
    <t>Capital integrado</t>
  </si>
  <si>
    <t>Nota 20</t>
  </si>
  <si>
    <t>Reserva de revalúo</t>
  </si>
  <si>
    <t>Nota 21</t>
  </si>
  <si>
    <t>Reserva legal</t>
  </si>
  <si>
    <t>Reservas estatutarias</t>
  </si>
  <si>
    <t>Reservas facultativas</t>
  </si>
  <si>
    <t>Diferencia transitoria por conversión</t>
  </si>
  <si>
    <t>Nota 22</t>
  </si>
  <si>
    <t>Resultados acumulados</t>
  </si>
  <si>
    <t>Nota 23</t>
  </si>
  <si>
    <t>Interés minoritario</t>
  </si>
  <si>
    <t>Nota 24</t>
  </si>
  <si>
    <t xml:space="preserve">Estado de Resultados </t>
  </si>
  <si>
    <t>ER</t>
  </si>
  <si>
    <t>Ventas</t>
  </si>
  <si>
    <t>Nota 25</t>
  </si>
  <si>
    <t>Costo de ventas</t>
  </si>
  <si>
    <t>Nota 26</t>
  </si>
  <si>
    <t>Gastos de ventas</t>
  </si>
  <si>
    <t>Nota 27</t>
  </si>
  <si>
    <t>Gastos administrativos</t>
  </si>
  <si>
    <t xml:space="preserve">Otros ingresos y gastos operativos/ No Operativos </t>
  </si>
  <si>
    <t>Nota 28</t>
  </si>
  <si>
    <t xml:space="preserve">Ingresos financieros - neto/ Inversiones </t>
  </si>
  <si>
    <t>Nota 29</t>
  </si>
  <si>
    <t>Gastos financieros - neto</t>
  </si>
  <si>
    <t>Resultado de inversiones en asociadas</t>
  </si>
  <si>
    <t>Nota 30</t>
  </si>
  <si>
    <t>Resultado participación minoritaria</t>
  </si>
  <si>
    <t>Nota 31</t>
  </si>
  <si>
    <t>Impuesto a la renta</t>
  </si>
  <si>
    <t>Nota 32</t>
  </si>
  <si>
    <t>Resultado extraordinario neto de impuesto a la renta</t>
  </si>
  <si>
    <t>Nota 33</t>
  </si>
  <si>
    <t>Resultado sobre actividades discontinuadas neto de impuesto a la renta</t>
  </si>
  <si>
    <t>Nota 34</t>
  </si>
  <si>
    <t>Utilidad/(Pérdida) neta del año</t>
  </si>
  <si>
    <t>Nota 35</t>
  </si>
  <si>
    <t>Utilidad neta por acción ordinaria</t>
  </si>
  <si>
    <t>Nota 36</t>
  </si>
  <si>
    <t>Estado de Evolución del Patrimonio Neto</t>
  </si>
  <si>
    <t>EVPN</t>
  </si>
  <si>
    <t>Estado de Flujos de Efectivo</t>
  </si>
  <si>
    <t>EFE</t>
  </si>
  <si>
    <t>Otras Notas de los Estados Financieros</t>
  </si>
  <si>
    <t>Activos gravados</t>
  </si>
  <si>
    <t>Contingencias y compromisos</t>
  </si>
  <si>
    <t>Nota 37</t>
  </si>
  <si>
    <t>Impuesto diferido</t>
  </si>
  <si>
    <t>Nota 38</t>
  </si>
  <si>
    <t>Hechos posteriores</t>
  </si>
  <si>
    <t>Nota 39</t>
  </si>
  <si>
    <t>Saldos y transacciones con partes relacionadas</t>
  </si>
  <si>
    <t>Nota 40</t>
  </si>
  <si>
    <t>Indice</t>
  </si>
  <si>
    <t>BALANCE GENERAL AL 30 DE SEPTIEMBRE DE 2022 COMPARATIVO CON CIFRAS AL 31 DE DICIEMBRE DE 2021</t>
  </si>
  <si>
    <t>Nota</t>
  </si>
  <si>
    <t>En miles de guaraníes</t>
  </si>
  <si>
    <t>ACTIVOS</t>
  </si>
  <si>
    <t xml:space="preserve">Activos Corrientes </t>
  </si>
  <si>
    <t>Inversiones Temporales</t>
  </si>
  <si>
    <t>Cuentas por Cobrar Comerciales</t>
  </si>
  <si>
    <t>Otros Créditos</t>
  </si>
  <si>
    <t xml:space="preserve">Inventarios </t>
  </si>
  <si>
    <t xml:space="preserve">Otros Activos Corrientes  </t>
  </si>
  <si>
    <t xml:space="preserve">TOTAL ACTIVO CORRIENTES </t>
  </si>
  <si>
    <t xml:space="preserve">Activos no corrientes </t>
  </si>
  <si>
    <t xml:space="preserve">Otros créditos </t>
  </si>
  <si>
    <t>Inversiones en Asociadas</t>
  </si>
  <si>
    <t xml:space="preserve">Propiedad, planta y equipo </t>
  </si>
  <si>
    <t>Inversiones Financieras</t>
  </si>
  <si>
    <t xml:space="preserve">Activos Intangibles </t>
  </si>
  <si>
    <t xml:space="preserve">Goodwill </t>
  </si>
  <si>
    <t xml:space="preserve">Inversiones Inmobiliarias </t>
  </si>
  <si>
    <t>Total activos no corrientes</t>
  </si>
  <si>
    <t xml:space="preserve">TOTAL ACTIVOS </t>
  </si>
  <si>
    <t>PASIVOS Y PATRIMONIO NETO</t>
  </si>
  <si>
    <t xml:space="preserve">Pasivo Corrientes </t>
  </si>
  <si>
    <t xml:space="preserve">Cuentas a Pagar - Comerciales </t>
  </si>
  <si>
    <t>Prestamos a corto plazo</t>
  </si>
  <si>
    <t>Impuestos a Pagar</t>
  </si>
  <si>
    <t xml:space="preserve">Provisiones </t>
  </si>
  <si>
    <t>Total Pasivos Corrientes</t>
  </si>
  <si>
    <t>Pasivos no corrientes</t>
  </si>
  <si>
    <t xml:space="preserve">Préstamos a largo plazo </t>
  </si>
  <si>
    <t>Otros pasivos  no corrientes</t>
  </si>
  <si>
    <t>Total pasivos no corrientes</t>
  </si>
  <si>
    <t>TOTAL PASIVOS</t>
  </si>
  <si>
    <t>PATRIMONIO NETO</t>
  </si>
  <si>
    <t>Reservas de Capitalización</t>
  </si>
  <si>
    <t>Reservas facultatitvas</t>
  </si>
  <si>
    <t>Resultados del ejercicio</t>
  </si>
  <si>
    <t>Subtotal</t>
  </si>
  <si>
    <t xml:space="preserve">TOTAL PATRIMONIO NETO </t>
  </si>
  <si>
    <t>TOTAL PASIVO Y PATRIMONIO NETO</t>
  </si>
  <si>
    <t>Las notas que se acompañan forman parte integrante de estos estados.</t>
  </si>
  <si>
    <t>ESTADO DE EVOLUCIÓN DEL PATRIMONIO NETO</t>
  </si>
  <si>
    <t xml:space="preserve">                AL 30 DE SEPTIEMBRE DE 2022</t>
  </si>
  <si>
    <t>Comparativo con igual periodo del año anterior</t>
  </si>
  <si>
    <t>(En miles de guaraníes)</t>
  </si>
  <si>
    <t>Aporte de los propietarios</t>
  </si>
  <si>
    <t>Ganancias reservadas</t>
  </si>
  <si>
    <t>Capital suscripto e integrado</t>
  </si>
  <si>
    <t>Acciones en Tesoreria</t>
  </si>
  <si>
    <t>Primas de emisión</t>
  </si>
  <si>
    <t>Reserva de revalúo técnico</t>
  </si>
  <si>
    <t xml:space="preserve">Prima de Recompra </t>
  </si>
  <si>
    <t>Reserva P/ Capitalizacion</t>
  </si>
  <si>
    <t>Resultado del Ejercicio</t>
  </si>
  <si>
    <t>Interes Minoritario</t>
  </si>
  <si>
    <t>Total</t>
  </si>
  <si>
    <t xml:space="preserve">de Acciones </t>
  </si>
  <si>
    <t>Saldo al 31/12/2020</t>
  </si>
  <si>
    <t>Cambio en política contable</t>
  </si>
  <si>
    <t>Saldo reestructurado</t>
  </si>
  <si>
    <t>Distribución de dividendos s/Acta de Asamblea General Ordinaria N°93 de fecha  16/04/2021</t>
  </si>
  <si>
    <t>Dividendos pagados</t>
  </si>
  <si>
    <t>Transferencia a Resultados Acumulados</t>
  </si>
  <si>
    <t>Integración del capital social</t>
  </si>
  <si>
    <t>Reducción del capital social s/Acta de Asamblea General Ordinaria N°… de fecha……..</t>
  </si>
  <si>
    <t>Revalúo de activos fijos</t>
  </si>
  <si>
    <t xml:space="preserve">Reserva Revaluo/Lega  - CPH/TF </t>
  </si>
  <si>
    <t>Revalúo técnico</t>
  </si>
  <si>
    <t>Resultado del año</t>
  </si>
  <si>
    <t>Saldo al 30/09/2021</t>
  </si>
  <si>
    <t>Saldo al 31/12/2021</t>
  </si>
  <si>
    <t>Distribución de dividendos s/Acta de Asamblea General Ordinaria N°96  de fecha 08/04/2022</t>
  </si>
  <si>
    <t xml:space="preserve">Capitalización de Accionistas </t>
  </si>
  <si>
    <t>Desafectación de la reserva de revalúo técnico</t>
  </si>
  <si>
    <t>ESTADO DE RESULTADOS</t>
  </si>
  <si>
    <t>AL 30 DE SEPTIEMBRE DE 2022 COMPARATIVO CON CIFRAS AL 30 DE SEPTIEMBRE 2021</t>
  </si>
  <si>
    <t xml:space="preserve">Ventas Actividad Comercial </t>
  </si>
  <si>
    <t xml:space="preserve">Ventas Actividad Ganadera </t>
  </si>
  <si>
    <t>Utilidad bruta</t>
  </si>
  <si>
    <t xml:space="preserve">Gastos administrativos </t>
  </si>
  <si>
    <t xml:space="preserve">Otros ingresos operativos </t>
  </si>
  <si>
    <t xml:space="preserve">Otros  gastos operativos </t>
  </si>
  <si>
    <t>Resultado operativo</t>
  </si>
  <si>
    <t>Ingresos financieros - neto</t>
  </si>
  <si>
    <t>Gastos financieros -  neto</t>
  </si>
  <si>
    <t xml:space="preserve">Resultados no Operativos </t>
  </si>
  <si>
    <t>28.1</t>
  </si>
  <si>
    <t>Ingresos de Inversiones Financieras</t>
  </si>
  <si>
    <t>Egresos de Inversiones Financieras</t>
  </si>
  <si>
    <t>Resultados ordinarios antes de impuesto a la renta</t>
  </si>
  <si>
    <t>Resultado ordinario antes del impuesto a la renta</t>
  </si>
  <si>
    <t>Resultado neto de actividades ordinarias</t>
  </si>
  <si>
    <t xml:space="preserve">Utilidad/(Pérdida) neta del año </t>
  </si>
  <si>
    <t>ESTADO DE FLUJOS DE EFECTIVO</t>
  </si>
  <si>
    <t>Por los periodos comprendidos entre el 01 de enero al 30 de SEPTIEMBRE de 2022</t>
  </si>
  <si>
    <t>FLUJO DE EFECTIVO DE ACTIVIDADES OPERATIVAS</t>
  </si>
  <si>
    <t>Cobranzas efectuadas a clientes</t>
  </si>
  <si>
    <t>Pagos efectuados a proveedores y empleados</t>
  </si>
  <si>
    <t xml:space="preserve">Efectivo generado por las operaciones </t>
  </si>
  <si>
    <t>Intereses pagados</t>
  </si>
  <si>
    <t>Otros ingresos y (egresos) - neto</t>
  </si>
  <si>
    <t>Pagos de impuesto a la renta</t>
  </si>
  <si>
    <t>Flujo neto de efectivo de actividades operativas</t>
  </si>
  <si>
    <t xml:space="preserve">FLUJO DE EFECTIVO DE ACTIVIDADES DE INVERSIÓN </t>
  </si>
  <si>
    <t xml:space="preserve">Adquisicion de bienes de uso </t>
  </si>
  <si>
    <t xml:space="preserve">Venta de bienes de uso </t>
  </si>
  <si>
    <t>Intereses cobrados sobre inversiones</t>
  </si>
  <si>
    <t xml:space="preserve">Inversiones mobiliarias Permanentes </t>
  </si>
  <si>
    <t>Adquisición de inversiones</t>
  </si>
  <si>
    <t>Flujo neto de efectivo de actividades de inversión</t>
  </si>
  <si>
    <t>FLUJO DE EFECTIVO DE ACTIVIDADES DE FINANCIACIÓN</t>
  </si>
  <si>
    <t>(Disminución) Incremento de préstamos</t>
  </si>
  <si>
    <t>Aportes de capital recibidos</t>
  </si>
  <si>
    <t xml:space="preserve">Intereses Pagados sobre préstamos </t>
  </si>
  <si>
    <t>Flujo neto de efectivo de actividades de financiamiento</t>
  </si>
  <si>
    <t xml:space="preserve">Disminución o incremento neto de efectivo </t>
  </si>
  <si>
    <t xml:space="preserve">Efecto estimado de la diferencia de cambio sobre el saldo de efectivo </t>
  </si>
  <si>
    <t xml:space="preserve">Efectivo al principio del año </t>
  </si>
  <si>
    <t>Efectivo al final del periodo</t>
  </si>
  <si>
    <t>NOTAS A LOS ESTADOS FINANCIEROS POR EL PERIODO FINALIZADO EL 30 DE SEPTIEMBRE DE 2022</t>
  </si>
  <si>
    <r>
      <rPr>
        <b/>
        <u/>
        <sz val="9"/>
        <color theme="1"/>
        <rFont val="Arial"/>
        <family val="2"/>
      </rPr>
      <t>Balance General</t>
    </r>
    <r>
      <rPr>
        <b/>
        <sz val="9"/>
        <color theme="1"/>
        <rFont val="Arial"/>
        <family val="2"/>
      </rPr>
      <t>:  Correspondiente al periódo finalizado el 30 de SEPTIEMBRE de 2022, presentado en forma comparativa con el ejercicio finalizado el 31 de diciembre de 2021</t>
    </r>
  </si>
  <si>
    <r>
      <rPr>
        <b/>
        <u/>
        <sz val="9"/>
        <color theme="1"/>
        <rFont val="Arial"/>
        <family val="2"/>
      </rPr>
      <t>Estado de Resultados</t>
    </r>
    <r>
      <rPr>
        <b/>
        <sz val="9"/>
        <color theme="1"/>
        <rFont val="Arial"/>
        <family val="2"/>
      </rPr>
      <t>: Correspondiente al periódo finalizado el 30 de septiembre de 2022, presentado en forma comparativa con el periódo finalizado el 30 de septiembre de 2021.</t>
    </r>
  </si>
  <si>
    <t>NOTA 1 – DESCRIPCIÓN DE LA NATURALEZA Y DEL NEGOCIO DE LA COMPAÑÍA</t>
  </si>
  <si>
    <r>
      <rPr>
        <b/>
        <u/>
        <sz val="9"/>
        <color theme="1"/>
        <rFont val="Arial"/>
        <family val="2"/>
      </rPr>
      <t>Denominación</t>
    </r>
    <r>
      <rPr>
        <b/>
        <sz val="9"/>
        <color theme="1"/>
        <rFont val="Arial"/>
        <family val="2"/>
      </rPr>
      <t>: NICOLAS GONZALEZ ODDONE S.A.E.C.A</t>
    </r>
  </si>
  <si>
    <t>La sociedad fue constituida por escritura de fecha 25 de marzo de 1964, autorizada por el Escribano Público Gervasio Recalde, habiéndose aprobado los mencionados estatutos y reconocida la personería jurídica de la sociedad por decretodel poder ejecutivo de la nacion Nº 4.180 de fecha 16 de abril de 1964, e inscriptos en el registro público de comercio por mandato del señor Juez de primera instancia en lo comercial del segundoturno, Dr. Arnaldo Rojas Rojas Sánchez, bajo el Nº 106 y en la página26 y sgtes., según providencia de fecha 03 de junio del mismo año.</t>
  </si>
  <si>
    <t>Los Estatutos originales sufrieron las siguientes modificaciones:</t>
  </si>
  <si>
    <r>
      <rPr>
        <b/>
        <sz val="9"/>
        <color theme="1"/>
        <rFont val="Arial"/>
        <family val="2"/>
      </rPr>
      <t>1º)</t>
    </r>
    <r>
      <rPr>
        <sz val="9"/>
        <color theme="1"/>
        <rFont val="Arial"/>
        <family val="2"/>
      </rPr>
      <t xml:space="preserve"> Por Escritura N°º 77 de fecha 5 de abril de 1976, aprobadas las modificaciones y aumento de capital social a G. 100.000.000 (guaranies cien millones) por Decreto N° 23039 del 31 de mayo de 1976, e inscriptas en el registro publico de comercio, bajo el N°. 442 y en la pagina 202 en fecha 22 de junio del mismo año;                 </t>
    </r>
  </si>
  <si>
    <r>
      <rPr>
        <b/>
        <sz val="9"/>
        <color theme="1"/>
        <rFont val="Arial"/>
        <family val="2"/>
      </rPr>
      <t>2°)</t>
    </r>
    <r>
      <rPr>
        <sz val="9"/>
        <color theme="1"/>
        <rFont val="Arial"/>
        <family val="2"/>
      </rPr>
      <t xml:space="preserve">  Por Escritura del 7 de mayo de 1979, aprobadas las modificaciones y aumento de capital social a G. 300.000.000 (guaranies trescientos millones) por decreto N° 8.425 del 20 de julio de 1979, e inscriptas bajo el N° 999 y en la pagina 145 y sgtes., según providencia del mismo año;   </t>
    </r>
  </si>
  <si>
    <r>
      <rPr>
        <b/>
        <sz val="9"/>
        <color theme="1"/>
        <rFont val="Arial"/>
        <family val="2"/>
      </rPr>
      <t>3°)</t>
    </r>
    <r>
      <rPr>
        <sz val="9"/>
        <color theme="1"/>
        <rFont val="Arial"/>
        <family val="2"/>
      </rPr>
      <t xml:space="preserve"> Por escritura N° 120 del 30 de abril de 1986, aprobadas las modificaciones y aumento de capital social a G 800.000.000 (guaranies ochocientos millones) por decreto N°. 18459 del 17 de noviembre de 1986, inscripta en el registro publico de comercio, bajo el N°. 1106 y en la pagina 32 vlto., en fecha 3 de diciembre del mismo año</t>
    </r>
  </si>
  <si>
    <r>
      <rPr>
        <b/>
        <sz val="9"/>
        <color theme="1"/>
        <rFont val="Arial"/>
        <family val="2"/>
      </rPr>
      <t>4°)</t>
    </r>
    <r>
      <rPr>
        <sz val="9"/>
        <color theme="1"/>
        <rFont val="Arial"/>
        <family val="2"/>
      </rPr>
      <t xml:space="preserve"> por escritura N°. 219 del 6 de noviembre de 1989, aprobada la modificación por aumento de capital a G 3.000.000.000 (guaranies tres mil millones) y adecuacion al codigo civil, escritura en donde constan los estatutos actualizados de la sociedad, que fueron inscriptos en el registro publico de comercio, bajo el N°. 1423 y al folio 6856 y sgtes., seccion contratos, serie “b”, según providencia del 23 de noviembre de 1989;  </t>
    </r>
  </si>
  <si>
    <r>
      <rPr>
        <b/>
        <sz val="9"/>
        <color rgb="FF000000"/>
        <rFont val="Arial"/>
        <family val="2"/>
      </rPr>
      <t>5°)</t>
    </r>
    <r>
      <rPr>
        <sz val="9"/>
        <color rgb="FF000000"/>
        <rFont val="Arial"/>
        <family val="2"/>
      </rPr>
      <t xml:space="preserve"> Por escritura N° 84 del 7 de mayo de 1991, con el aumento del capital a G 5.000.000.000 (guaranies cinco mil millones), inscripta en el registro publico de comercio, según providencia del 22 de mayo de 1991, anotado bajo el N°. 110, folio 520 y sgtes., serie “a”, seccion contratos.,</t>
    </r>
  </si>
  <si>
    <r>
      <rPr>
        <b/>
        <sz val="9"/>
        <color rgb="FF000000"/>
        <rFont val="Arial"/>
        <family val="2"/>
      </rPr>
      <t xml:space="preserve">6°) </t>
    </r>
    <r>
      <rPr>
        <sz val="9"/>
        <color rgb="FF000000"/>
        <rFont val="Arial"/>
        <family val="2"/>
      </rPr>
      <t xml:space="preserve">Por escritura N°. 107 de fecha 28 de diciembre de 1995, pasada ante el escribano Raul A Casabianca, fueron modificados los estatutos sociales para adecuarlos a la ley del mercado de valores y en consecuencia la transformación de la firma en “SOCIEDAD EMISORA DE CAPITAL ABIERTO” y acogerse a los beneficios de la  Ley N°. 548/95 y aumento de capital social a la suma de G 30.000.000.000 (treinta mil millones de guaranies); tomándose razon en la dirección general de los registros publicos, registro de personas jurídicas y asociaciones,  según A I. N° 309 de fecha 1 de abril de 1996, anotado bajo el n° 197 folio 2558 y sgtes., serie “a” de fecha dos de abril de 1996 y registro publico de comercio, anotado bajo el n° 186, serie “a” folio 2730 y sgtes., seccion contratos, en fecha 11 de abril de 1996 y escritura complementaria N° 109 de fecha 29 de diciembre de 1995,  bajo el n° 198 folio 2580 y sgtes., serie “a” de fecha 2 de abril de 1996 y registro publico de comercio anotado bajo el N° 187 serie “a” folio 2751 y sgtes. seccion contratos, en fecha 11 de abril de 1996;  </t>
    </r>
  </si>
  <si>
    <r>
      <rPr>
        <b/>
        <sz val="9"/>
        <color rgb="FF000000"/>
        <rFont val="Arial"/>
        <family val="2"/>
      </rPr>
      <t>7°)</t>
    </r>
    <r>
      <rPr>
        <sz val="9"/>
        <color rgb="FF000000"/>
        <rFont val="Arial"/>
        <family val="2"/>
      </rPr>
      <t xml:space="preserve"> Escritura N° 21 de fecha 8 de mayo del año 1996, fue protocolizado el Acta N° 49 de fecha 12 de abril del año 1996 de Asamblea General Extraordinaria, aumento de capital a la suma de G 50.000.000.000 (guaranies cincuenta mil millones) inscripto en la Dirección General de los Registros Publicos, Registro de Personas Jurídicas y Asociaciones, según A. I. N° 705 de fecha 4 de julio de 1996, anotado bajo el n° 365 serie “A” al folio 4756 y sgtes. en fecha 5 de julio de 1996 y registro publico de comercio anotado bajo el N° 716 serie “d” al folio 6104 y sgtes. seccion contratos en fecha 9 de julio de 1996;   </t>
    </r>
  </si>
  <si>
    <r>
      <rPr>
        <b/>
        <sz val="9"/>
        <color theme="1"/>
        <rFont val="Arial"/>
        <family val="2"/>
      </rPr>
      <t>8°)</t>
    </r>
    <r>
      <rPr>
        <sz val="9"/>
        <color theme="1"/>
        <rFont val="Arial"/>
        <family val="2"/>
      </rPr>
      <t xml:space="preserve">  Escritura N° 23 de fecha 10 de marzo del año 1999, fue protocolizado el Acta N° 54 de fecha 22 de febrero del año 1999 de Asamblea General Extraordinaria de modificación de los arts.1° y 6°  del contrato de constitución social, según providencia de fecha 19 de mayo de 1999, A. I. N° 797, anotado bajo el N° 491 serie “a” </t>
    </r>
    <r>
      <rPr>
        <sz val="9"/>
        <color rgb="FF000000"/>
        <rFont val="Arial"/>
        <family val="2"/>
      </rPr>
      <t>al folio 3966 y sgtes. seccion contratos y registro de personas jurídicas y asociaciones bajo el N° 102 serie “C” al folio 1357 y sgtes. en fecha 25 de mayo de 1999.</t>
    </r>
  </si>
  <si>
    <r>
      <rPr>
        <b/>
        <sz val="9"/>
        <color rgb="FF000000"/>
        <rFont val="Arial"/>
        <family val="2"/>
      </rPr>
      <t xml:space="preserve">9°) </t>
    </r>
    <r>
      <rPr>
        <sz val="9"/>
        <color rgb="FF000000"/>
        <rFont val="Arial"/>
        <family val="2"/>
      </rPr>
      <t xml:space="preserve">Escritura N°  78 de fecha  31 de diciembre de 2001, fue protocolizado el Acta N°. 57 de Asamblea General Extraordinaria de fecha 7 de diciembre de 2001 de emisión de titulos de deudas, emisión de acciones, aumento de capital a la suma de G 70.000.000.000  (guaranies setenta mil millones) y prorroga de duración, inscripto en la dirección general de los registros publicos, registro publico de comercio, A. I.  N° 347 providencia de fecha 19 de marzo de 2002, bajo el N° 149 serie “B” folios 1016 y sgtes. en fecha 22 de marzo de 2002 seccion contratos y registro de personas jurídicas y asociaciones bajo el n° 82 serie “G”  folios 947 y sgtes en fecha 1 de abril de 2002; </t>
    </r>
  </si>
  <si>
    <r>
      <rPr>
        <b/>
        <sz val="9"/>
        <color rgb="FF000000"/>
        <rFont val="Arial"/>
        <family val="2"/>
      </rPr>
      <t>10°)</t>
    </r>
    <r>
      <rPr>
        <sz val="9"/>
        <color rgb="FF000000"/>
        <rFont val="Arial"/>
        <family val="2"/>
      </rPr>
      <t xml:space="preserve"> Escritura N° 5 de fecha 2 de mayo de 2003, fue protocolizado el Acta N°. 61 de fecha 31 de marzo de 2003 de Asamblea General Extraordinaria referente a la</t>
    </r>
    <r>
      <rPr>
        <b/>
        <sz val="9"/>
        <color rgb="FF000000"/>
        <rFont val="Arial"/>
        <family val="2"/>
      </rPr>
      <t xml:space="preserve">  </t>
    </r>
    <r>
      <rPr>
        <sz val="9"/>
        <color rgb="FF000000"/>
        <rFont val="Arial"/>
        <family val="2"/>
      </rPr>
      <t>emisión de</t>
    </r>
    <r>
      <rPr>
        <b/>
        <sz val="9"/>
        <color rgb="FF000000"/>
        <rFont val="Arial"/>
        <family val="2"/>
      </rPr>
      <t xml:space="preserve"> </t>
    </r>
    <r>
      <rPr>
        <sz val="9"/>
        <color rgb="FF000000"/>
        <rFont val="Arial"/>
        <family val="2"/>
      </rPr>
      <t>acciones y aumento de capital a la suma de G 100.000.000.000 (guaranies cien mil millones) modificándose los articulos 5º y 33º del contrato social</t>
    </r>
    <r>
      <rPr>
        <b/>
        <sz val="9"/>
        <color rgb="FF000000"/>
        <rFont val="Arial"/>
        <family val="2"/>
      </rPr>
      <t xml:space="preserve">, </t>
    </r>
    <r>
      <rPr>
        <sz val="9"/>
        <color rgb="FF000000"/>
        <rFont val="Arial"/>
        <family val="2"/>
      </rPr>
      <t>inscripta en la direccion general de los registros publicos, registro de personas jurídicas y asociaciones, según A. I. N° 1218 de fecha 17 de julio de 2003, bajo el N° 426, folio 5780, serie “F” y en el registro de contratos del registro publico de comercio bajo el N° 587, serie “b”, folios 7162 y sgtes. en fecha 30 de julio de 2003.</t>
    </r>
  </si>
  <si>
    <r>
      <rPr>
        <b/>
        <sz val="9"/>
        <color rgb="FF000000"/>
        <rFont val="Arial"/>
        <family val="2"/>
      </rPr>
      <t>11º)</t>
    </r>
    <r>
      <rPr>
        <sz val="9"/>
        <color rgb="FF000000"/>
        <rFont val="Arial"/>
        <family val="2"/>
      </rPr>
      <t xml:space="preserve"> Escritura Nº  17 de fecha 8 de mayo de 2006, fue protocolizado el Acta N°. 66 de fecha 7 de abril de 2006 de Asamblea General Extraordinaria, referante a la emisión de acciones y aumento de capital social a la suma de G 150.000.000.000.-(guaranies ciento cincuenta mil millones) modificándose los articulos 5º y 33º de los estatutos sociales, inscripta en la dirección general de los registros publicos, registro publico de comercio, según A. I. N° 1216 de fecha 10 de julio de 2006, bajo el nº 847  serie e, folios 8330 y sgtes. de la seccion contratos y en la seccion personas jurídicas y asociaciones bajo el nº 547, serie “b”, folios 5844 y sgtes. en fecha 25 de julio de 2006.  </t>
    </r>
  </si>
  <si>
    <r>
      <rPr>
        <b/>
        <sz val="9"/>
        <color rgb="FF000000"/>
        <rFont val="Arial"/>
        <family val="2"/>
      </rPr>
      <t>12º)</t>
    </r>
    <r>
      <rPr>
        <sz val="9"/>
        <color rgb="FF000000"/>
        <rFont val="Arial"/>
        <family val="2"/>
      </rPr>
      <t xml:space="preserve"> Escritura Nº 8 de fecha 5 de mayo de 2008, fueron protocolizadas las actas, Nº  68 de fecha 14 de abril de 2008 de Asamblea Extraordinaria, referente al aumento del capital social a la suma de doscientos mil millones de guaranies ( G. 200.000.000.000 ), por la que se modifican los articulos 5º y 33º de los estatutos sociales y  la Nº 69 de Asamblea General Ordinaria, por la que se emiten acciones, inscripta en la direccion general de los registros  publicos, registro publico de comercio, dictamen nº 1985, según providencia de fecha 3 de junio de 2008, bajo el nº 194, serie “c”, folio 1818 de la seccion contratos y en la seccion personas juridicas y asociaciones bajo el  nº 589 y al folio 6814, el 6 de junio de 2008; </t>
    </r>
  </si>
  <si>
    <r>
      <rPr>
        <b/>
        <sz val="9"/>
        <color rgb="FF000000"/>
        <rFont val="Arial"/>
        <family val="2"/>
      </rPr>
      <t>13º)</t>
    </r>
    <r>
      <rPr>
        <sz val="9"/>
        <color rgb="FF000000"/>
        <rFont val="Arial"/>
        <family val="2"/>
      </rPr>
      <t xml:space="preserve"> Escritura Nº 7 de fecha 16 de abril de 2010, fue protocolizada el Acta Nº 72 de fecha 31 de marzo de 2010 de Asamblea General Extraordinaria, referente a la emision de acciones y aumento del capital social a la suma de doscientos cincuenta mil millones de guaranies (G250.000.000.000), modificandose los articulos 5º y 33º del estatuto social, inscripta en  la Direccion General de los Registros Publicos, Registro Publico de Comercio, dictamen Nº 1772 de fecha 3 de mayo de 2010, bajo el Nº 192, serie “g”, folio 2021, de la seccion contratos, el 10 de mayo de 2010 y en la seccion  personas juridicas y asociaciones bajo el nº 99 y al folio 988, serie “e” , el 10 de mayo de 2010;  </t>
    </r>
  </si>
  <si>
    <r>
      <rPr>
        <b/>
        <sz val="9"/>
        <color theme="1"/>
        <rFont val="Arial"/>
        <family val="2"/>
      </rPr>
      <t>14º)</t>
    </r>
    <r>
      <rPr>
        <sz val="9"/>
        <color theme="1"/>
        <rFont val="Arial"/>
        <family val="2"/>
      </rPr>
      <t xml:space="preserve"> Escritura Nº 12 de fecha 3 de junio de 2013, fue protocolizada el Acta Nº 79 de fecha  24 de mayo de 2013 de Asamblea General Extraordinaria, referente a la emision de  acciones y  aumento del capital social a la suma de doscientos setenta mil millones de guaranies (G 270.000.000.000.), modificandose los articulos 5º y 33º del estatuto </t>
    </r>
    <r>
      <rPr>
        <sz val="9"/>
        <color rgb="FF000000"/>
        <rFont val="Arial"/>
        <family val="2"/>
      </rPr>
      <t xml:space="preserve">social, inscripta en  la direccion general de los registros publicos, registro publico de comercio, bajo el Nº 140, serie “h”, folio 1479 y sgtes., de la seccion contratos, el 18 de junio de 2013 y en la seccion personas juridicas y asociaciones bajo el nº 538 y al folio 6508, serie “d” , el 18 de junio de 2013;                             </t>
    </r>
  </si>
  <si>
    <r>
      <rPr>
        <b/>
        <sz val="9"/>
        <color rgb="FF000000"/>
        <rFont val="Arial"/>
        <family val="2"/>
      </rPr>
      <t>15º)</t>
    </r>
    <r>
      <rPr>
        <sz val="9"/>
        <color rgb="FF000000"/>
        <rFont val="Arial"/>
        <family val="2"/>
      </rPr>
      <t xml:space="preserve"> Escritura Nº 3 de fecha 12 de mayo de 2016, fue protocolizada el Acta Nº 84 de fecha 11 de abril de 2016 de Asamblea General Extraordinaria, referente al  aumento del capital social a la suma de trescientos mil millones de guaranies (G 300.000.000.000.), modificandose los articulos 5º y 33º del estatuto social, inscripta en  la direccion general de los registros publicos, seccion personas juridicas y asociaciones matricula juridica Nº 5293 y en la seccion comercio matricula comercial Nº 5585 de fecha 7 de julio de 2016.</t>
    </r>
  </si>
  <si>
    <r>
      <rPr>
        <b/>
        <sz val="9"/>
        <color rgb="FF000000"/>
        <rFont val="Arial"/>
        <family val="2"/>
      </rPr>
      <t>16°)</t>
    </r>
    <r>
      <rPr>
        <sz val="9"/>
        <color rgb="FF000000"/>
        <rFont val="Arial"/>
        <family val="2"/>
      </rPr>
      <t xml:space="preserve">  Escritura Nº 13 de fecha 22 de octubre de 2018, fue protocolizada el Acta Nº 88 de fecha 05 de octubre de 2018 de Asamblea Extraordinaria, referente al  aumento del</t>
    </r>
    <r>
      <rPr>
        <b/>
        <sz val="9"/>
        <color rgb="FF000000"/>
        <rFont val="Arial"/>
        <family val="2"/>
      </rPr>
      <t xml:space="preserve"> </t>
    </r>
    <r>
      <rPr>
        <sz val="9"/>
        <color rgb="FF000000"/>
        <rFont val="Arial"/>
        <family val="2"/>
      </rPr>
      <t xml:space="preserve">capital social a la suma de ochocientos mil millones de guaranies (G 800.000.000.000.), modificandose los articulos 5º y 33º del estatuto social, inscripta en  la direccion general de los registros publicos, seccion personas juridicas y asociaciones matricula juridica Nº 5293 de fecha 20 de marzo de 2019 y en la seccion comercio, matricula comercial Nº 5585 de fecha 16 julio de 2019;                      </t>
    </r>
  </si>
  <si>
    <r>
      <rPr>
        <b/>
        <sz val="9"/>
        <color rgb="FF000000"/>
        <rFont val="Arial"/>
        <family val="2"/>
      </rPr>
      <t xml:space="preserve">17°) </t>
    </r>
    <r>
      <rPr>
        <sz val="9"/>
        <color rgb="FF000000"/>
        <rFont val="Arial"/>
        <family val="2"/>
      </rPr>
      <t xml:space="preserve">Escritura Nº 1, fecha 21 de enero 2020, fue protocolizada el Acta Nº 91 de fecha 11 de diciembre de 2019 de Asamblea Extraordinaria, Desmaterialización de acciones, modificandose los articulos 4°, 5º, 6°, 7° y 23º del estatuto social, inscripta en  la direccion general de los registros publicos, seccion personas juridicas y asociaciones matricula juridica Nº 5293 de fecha 26 de febrero de 2020 y en la seccion comercio, matricula comercial Nº 5585 de fecha 26 de febrero de 2020. </t>
    </r>
  </si>
  <si>
    <r>
      <rPr>
        <b/>
        <u/>
        <sz val="9"/>
        <color theme="1"/>
        <rFont val="Arial"/>
        <family val="2"/>
      </rPr>
      <t>La Sociedad tiene por objeto</t>
    </r>
    <r>
      <rPr>
        <b/>
        <sz val="9"/>
        <color theme="1"/>
        <rFont val="Arial"/>
        <family val="2"/>
      </rPr>
      <t>:</t>
    </r>
  </si>
  <si>
    <t>a)         Importar y exportar toda clase de mercaderías, por cuenta propia o de terceros y/o asociada a terceros: comprar y vender bienes muebles o inmuebles y constituir derechos reales sobre ellos.</t>
  </si>
  <si>
    <t>b)         Ejercer representaciones, comisiones, mandatos o consignaciones.</t>
  </si>
  <si>
    <t>c)         Elaborar o industrializar todo género de productos o materias primas nacionales o extranjeras.</t>
  </si>
  <si>
    <t>d)        Dar o tomar participación en cualquier sociedad, dentro o fuera del país que se realice con los objetos que se han indicado.</t>
  </si>
  <si>
    <t>e)         Promover la radicación de capitales, empresas e industrias en la República del Paraguay.</t>
  </si>
  <si>
    <t>f)          Explotar empresas de transportes y practicar, en fin, todo acto de comercio lícito.</t>
  </si>
  <si>
    <t xml:space="preserve">En el año 1996 la Comisión  Nacional de Valores por medio de la Resolución N° 270/96 autoriza la inscripción definitiva de la Compañía como Sociedad Emisora de Capital Abierto. </t>
  </si>
  <si>
    <t>A la fecha el Capital Integrado asciende a Gs. 777.367.000.000</t>
  </si>
  <si>
    <t xml:space="preserve">Ejercicio Fiscal </t>
  </si>
  <si>
    <t>Conforme a los Estatutos Sociales y para adecuarse a los requerimientos de la Ley 125/91 y sus reglamentaciones el cierre del ejercicio económico y fiscal será el 31 de diciembre de cada año, por lo tanto los estados contables abarcarán el ejercicio correspondiente entre el 1 de enero al 31 de diciembre de cada año civil.</t>
  </si>
  <si>
    <t>COMPOSICION DEL CAPITAL</t>
  </si>
  <si>
    <t>A     C     C     I     O     N    E     S</t>
  </si>
  <si>
    <r>
      <t xml:space="preserve">                                                   </t>
    </r>
    <r>
      <rPr>
        <sz val="9"/>
        <color theme="1"/>
        <rFont val="Arial"/>
        <family val="2"/>
      </rPr>
      <t>Nº  DE VOTOS QUE</t>
    </r>
    <r>
      <rPr>
        <sz val="10"/>
        <color theme="1"/>
        <rFont val="Arial"/>
        <family val="2"/>
      </rPr>
      <t xml:space="preserve">     SUSCRIPTO                  INTEGRADO                                                                                                  </t>
    </r>
  </si>
  <si>
    <r>
      <t xml:space="preserve">  CANTIDAD </t>
    </r>
    <r>
      <rPr>
        <sz val="11"/>
        <color theme="1"/>
        <rFont val="Arial"/>
        <family val="2"/>
      </rPr>
      <t xml:space="preserve">      </t>
    </r>
    <r>
      <rPr>
        <sz val="9"/>
        <color theme="1"/>
        <rFont val="Arial"/>
        <family val="2"/>
      </rPr>
      <t xml:space="preserve">TIPO      </t>
    </r>
    <r>
      <rPr>
        <sz val="11"/>
        <color theme="1"/>
        <rFont val="Arial"/>
        <family val="2"/>
      </rPr>
      <t xml:space="preserve">             </t>
    </r>
    <r>
      <rPr>
        <sz val="9"/>
        <color theme="1"/>
        <rFont val="Arial"/>
        <family val="2"/>
      </rPr>
      <t xml:space="preserve"> OTORGA C/U.</t>
    </r>
    <r>
      <rPr>
        <sz val="11"/>
        <color theme="1"/>
        <rFont val="Arial"/>
        <family val="2"/>
      </rPr>
      <t xml:space="preserve">                GS.                            GS.                                                       </t>
    </r>
  </si>
  <si>
    <t xml:space="preserve">  </t>
  </si>
  <si>
    <t>4.609.256.-   ORDIN/NOMINATIVAS      5                                   460.925.600.000.-                      460.925.600.000.-</t>
  </si>
  <si>
    <t xml:space="preserve">   1.647.648.-     ORDIN/NOMINATIVAS     4                                164.764.800.000.-                    164.764.800.000.-</t>
  </si>
  <si>
    <r>
      <t>1.515.324.-</t>
    </r>
    <r>
      <rPr>
        <sz val="8"/>
        <color theme="1"/>
        <rFont val="Arial"/>
        <family val="2"/>
      </rPr>
      <t xml:space="preserve">     PREFE./NOMINATIVAS       1 RESTR              </t>
    </r>
    <r>
      <rPr>
        <u/>
        <sz val="8"/>
        <color theme="1"/>
        <rFont val="Arial"/>
        <family val="2"/>
      </rPr>
      <t xml:space="preserve">      151.532.400.000.-</t>
    </r>
    <r>
      <rPr>
        <sz val="8"/>
        <color theme="1"/>
        <rFont val="Arial"/>
        <family val="2"/>
      </rPr>
      <t xml:space="preserve">                  </t>
    </r>
    <r>
      <rPr>
        <u/>
        <sz val="8"/>
        <color theme="1"/>
        <rFont val="Arial"/>
        <family val="2"/>
      </rPr>
      <t xml:space="preserve">  151.532.400.000.-</t>
    </r>
  </si>
  <si>
    <t xml:space="preserve">  7.772.228.-                                                                               777.222.800.000.-                        777.222.800.000.-</t>
  </si>
  <si>
    <t>ACCIONES EN TESORERIA</t>
  </si>
  <si>
    <r>
      <rPr>
        <sz val="8"/>
        <color theme="1"/>
        <rFont val="Arial"/>
        <family val="2"/>
      </rPr>
      <t xml:space="preserve">        </t>
    </r>
    <r>
      <rPr>
        <u/>
        <sz val="8"/>
        <color theme="1"/>
        <rFont val="Arial"/>
        <family val="2"/>
      </rPr>
      <t>1.442</t>
    </r>
    <r>
      <rPr>
        <sz val="8"/>
        <color theme="1"/>
        <rFont val="Arial"/>
        <family val="2"/>
      </rPr>
      <t>.</t>
    </r>
    <r>
      <rPr>
        <u/>
        <sz val="8"/>
        <color theme="1"/>
        <rFont val="Arial"/>
        <family val="2"/>
      </rPr>
      <t>-</t>
    </r>
    <r>
      <rPr>
        <sz val="8"/>
        <color theme="1"/>
        <rFont val="Arial"/>
        <family val="2"/>
      </rPr>
      <t xml:space="preserve">   PREFER./NOMINATIVAS                                    </t>
    </r>
    <r>
      <rPr>
        <u/>
        <sz val="8"/>
        <color theme="1"/>
        <rFont val="Arial"/>
        <family val="2"/>
      </rPr>
      <t xml:space="preserve">       144.200.000.-</t>
    </r>
    <r>
      <rPr>
        <sz val="8"/>
        <color theme="1"/>
        <rFont val="Arial"/>
        <family val="2"/>
      </rPr>
      <t xml:space="preserve">                   </t>
    </r>
    <r>
      <rPr>
        <u/>
        <sz val="8"/>
        <color theme="1"/>
        <rFont val="Arial"/>
        <family val="2"/>
      </rPr>
      <t xml:space="preserve">     144.200.000.-</t>
    </r>
    <r>
      <rPr>
        <sz val="8"/>
        <color theme="1"/>
        <rFont val="Arial"/>
        <family val="2"/>
      </rPr>
      <t xml:space="preserve"> </t>
    </r>
  </si>
  <si>
    <t>7.773.670.-                                                                                777.367.000.000.-                 777.367.000.000.-</t>
  </si>
  <si>
    <t>========                                                                                  =============                    =============</t>
  </si>
  <si>
    <t>NOTA 2 - RESUMEN DE LAS PRINCIPALES POLÍTICAS CONTABLES</t>
  </si>
  <si>
    <t xml:space="preserve">a.   Bases de contabilización </t>
  </si>
  <si>
    <t xml:space="preserve">Los presentes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</si>
  <si>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   Uso de estimaciones contables</t>
  </si>
  <si>
    <t>La preparación de los presentes estados contables requiere que la Gerencia y el Directorio de la sociedad realicen estimaciones y evaluaciones que afectan el monto de los activos y pasivos registrados y contingentes revelados a fecha de cierre de cada balance, así como también los ingresos y egresos registrados en el ejercicio. El Directorio estima que los resultados reales futuros podrían diferir, en forma poco significativa, de las estimaciones y evaluaciones realizadas a la fecha de preparación de los presentes estados contables.</t>
  </si>
  <si>
    <t>c.   Moneda extranjera</t>
  </si>
  <si>
    <t>Los activos y pasivos en moneda extranjera se valúan a los tipos de cambio vigentes a la fecha de cierre del balance, publicados por la administración tributaria.</t>
  </si>
  <si>
    <t>Las diferencias de cambio originadas por fluctuaciones en los tipos de cambio producidos entre las fechas de concertación de las operaciones y su liquidación o valuación al cierre del balance, son reconocidas en resultados.</t>
  </si>
  <si>
    <t>Indicar moneda</t>
  </si>
  <si>
    <t xml:space="preserve">Simbología </t>
  </si>
  <si>
    <t>Miles de Gs.</t>
  </si>
  <si>
    <t>Simbología</t>
  </si>
  <si>
    <t xml:space="preserve">             Miles de Gs.</t>
  </si>
  <si>
    <t>Activos C.</t>
  </si>
  <si>
    <t xml:space="preserve">Euros </t>
  </si>
  <si>
    <t>€</t>
  </si>
  <si>
    <t xml:space="preserve">Dólar Estadounidense  </t>
  </si>
  <si>
    <t>$</t>
  </si>
  <si>
    <t>Activos N.C.</t>
  </si>
  <si>
    <t>Pasivos C.</t>
  </si>
  <si>
    <t>Pasivos NC.</t>
  </si>
  <si>
    <t>El detalle de las cotizaciones de la moneda extranjera operada por la sociedad es el siguiente:</t>
  </si>
  <si>
    <t>Cotización  Gs.</t>
  </si>
  <si>
    <t>Cotización Gs.</t>
  </si>
  <si>
    <t xml:space="preserve">Activos </t>
  </si>
  <si>
    <t xml:space="preserve">Pasivos </t>
  </si>
  <si>
    <t>d.   Efectivo y equivalentes de efectivo</t>
  </si>
  <si>
    <t>e.   Inversiones</t>
  </si>
  <si>
    <r>
      <t xml:space="preserve">Las inversiones temporales se valúan de acuerdo a los siguientes criterios de valuación:
* Colocaciones financieras en moneda extranjera: a su valor de cotización al cierre del año/período . </t>
    </r>
    <r>
      <rPr>
        <b/>
        <sz val="9"/>
        <color theme="1"/>
        <rFont val="Arial"/>
        <family val="2"/>
      </rPr>
      <t>Ver Nota 4</t>
    </r>
    <r>
      <rPr>
        <sz val="9"/>
        <color theme="1"/>
        <rFont val="Arial"/>
        <family val="2"/>
      </rPr>
      <t xml:space="preserve">
*  Las inversiones no corrientes en sociedades donde no se ejerce el control, se valúan al valor patrimonial proporcional</t>
    </r>
    <r>
      <rPr>
        <b/>
        <sz val="9"/>
        <color theme="1"/>
        <rFont val="Arial"/>
        <family val="2"/>
      </rPr>
      <t>. Ver Nota 8</t>
    </r>
    <r>
      <rPr>
        <sz val="9"/>
        <color theme="1"/>
        <rFont val="Arial"/>
        <family val="2"/>
      </rPr>
      <t xml:space="preserve">
</t>
    </r>
  </si>
  <si>
    <t>Obs.: En caso de la existencia de saldos y transacciones con partes relacionadas, la información que corresponda a ser expuesta por la sociedad, se ajustará  a lo requerido por la Norma de Información Financiera N° 7 Revelaciones de partes relacionadas.</t>
  </si>
  <si>
    <t>f. Previsión para cuentas de dudoso cobro/incobrables</t>
  </si>
  <si>
    <t xml:space="preserve">La Sociedad constituye previsiones sobre las cuentas de dudoso cobro o de difícil recuperabilidad, teniendo en cuenta el análisis de la Gerencia sobre   la antigüedad y cobrabilidad de cada uno de los créditos.  Las cuentas a cobrar en Gestión de Cobro Judicial y las que se encuentran en Convocatoria de Acreedores y/o Quiebra, han sido provisionadas en su totalidad.   </t>
  </si>
  <si>
    <t xml:space="preserve">Criterio para Previsiones                                                                                                                                                  </t>
  </si>
  <si>
    <t xml:space="preserve">1. Clientes que registran atrasos y estan por ser demandados. </t>
  </si>
  <si>
    <t>2. Clientes que tienen cuentas con otros proveedores y no estan pudiendo pagar.</t>
  </si>
  <si>
    <t>3. Clientes con cheque devueltos.</t>
  </si>
  <si>
    <t>4. Clientes que presentan atrasos normales.</t>
  </si>
  <si>
    <t>5. Clientes sobregirados de acuerdo al límite de créditos establecido por el comité correspondiente.</t>
  </si>
  <si>
    <t xml:space="preserve">6. Clientes que refinancian sus cuentas. </t>
  </si>
  <si>
    <t>g. Inventarios</t>
  </si>
  <si>
    <r>
      <t xml:space="preserve">Las existencias están valuadas al costo de adquisición más todos los gastos necesarios hasta la puesta en depósitos de la Compañía. La salida de las existencias es registrada utilizando el sistema de precio promedio ponderado. La Sociedad efectúa previsiones por obsolescencia de acuerdo al análisis de la Gerencia sobre la desvalorización y/o obsolescencia de los mismos.
A partir del ejercicio 2008, la Compañía utiliza el Criterio del Valor Neto de Realización para valuar su hacienda vacuna. </t>
    </r>
    <r>
      <rPr>
        <b/>
        <sz val="9"/>
        <color theme="1"/>
        <rFont val="Arial"/>
        <family val="2"/>
      </rPr>
      <t>Ver Nota 7</t>
    </r>
    <r>
      <rPr>
        <sz val="9"/>
        <color theme="1"/>
        <rFont val="Arial"/>
        <family val="2"/>
      </rPr>
      <t xml:space="preserve">
</t>
    </r>
  </si>
  <si>
    <r>
      <t xml:space="preserve">A partir del ejercicio 2008, la compañía utiliza el criterio del valor neto de realización para valuar su hacienda vacuna. </t>
    </r>
    <r>
      <rPr>
        <b/>
        <sz val="9"/>
        <color theme="1"/>
        <rFont val="Arial"/>
        <family val="2"/>
      </rPr>
      <t>Ver Nota 7</t>
    </r>
  </si>
  <si>
    <t>h.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</si>
  <si>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</si>
  <si>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i. Previsiones para desvalorización y deterioro de inventarios</t>
  </si>
  <si>
    <t>Las previsiones para desvalorización y deterioro de inventarios han sido estimadas tomando como base la valorización del stock deteriorado existente al cierre del ejercicio.</t>
  </si>
  <si>
    <t>i. Propiedades, planta y equipo</t>
  </si>
  <si>
    <t>Las propiedades, planta y equipo se exponen a su costo histórico ajustado por el % del valor residual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</si>
  <si>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</si>
  <si>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 xml:space="preserve">La depreciación es calculada por el método de línea recta, conforme a la vida útil definida por la administración tributaria. </t>
  </si>
  <si>
    <t>j. Intangibles</t>
  </si>
  <si>
    <t>Los intangibles se exponen a su costo incurrido menos las correspondientes amortizaciones acumuladas al cierre del año, y son reconocidas en los resultados.</t>
  </si>
  <si>
    <t>k. Reconocimiento de ingresos y egresos</t>
  </si>
  <si>
    <t xml:space="preserve">Los estados contables se preparan sobre la base de lo devengado. Bajo tal base los efectos de las transacciones y otros eventos son reconocidos cuando ocurren (y no cuando el efectivo o su equivalente es recibido o pagado) y son registrados en los libros contables y presentados en los estados financieros en los períodos a que se refieren. 
</t>
  </si>
  <si>
    <t>l. Impuesto a la renta</t>
  </si>
  <si>
    <t xml:space="preserve">El Impuesto a la Renta, es calculado en base al resultado contable, ajustado por las partidas que la ley tributaria incluye o excluye para la actividad grabable, a esta cifra final se aplica la tasa del 10% en concepto de Impuesto a la Renta Empresarial Ley 6380/19 de Modernización del Sistema Tributario Nacional. 
</t>
  </si>
  <si>
    <t>m. Restricciones a la distribución de utilidades</t>
  </si>
  <si>
    <t xml:space="preserve">No existen restricciones a la distribución de utilidades mas que lo siguiente: </t>
  </si>
  <si>
    <t xml:space="preserve">• La legislación paraguaya establece una transferencia del 5% de las utilidades del ejercicio para la constitución de una reserva legal hasta completar el 20% del </t>
  </si>
  <si>
    <t>capital integrado.</t>
  </si>
  <si>
    <t>• De acuerdo a la ley Nº 6380/19 que deroga los libros I, III y IV de la Ley N° 125/91, la cual dispone aplicar sobre el importe a distribuir las siguientes tasas</t>
  </si>
  <si>
    <t>a) 8% (ocho por ciento) cuando el perceptor de los dividendos, utilidades o rendimientos sea una persona física, jurídica o entidad residente en el país.</t>
  </si>
  <si>
    <t>b)15% (quince por ciento) cuando el perceptor de los dividendos, utilidades o rendimientos sea una persona física, jurídica o entidad no residente en el país, incluidos los obtenidos por la casa matriz del exterior.</t>
  </si>
  <si>
    <t>n. Acciones de tesoreria</t>
  </si>
  <si>
    <t>Al 30 de septiembre de 2022, el saldo de Acciones en Tesorería es de 1.442 acciones. El valor nominal de dichas acciones es de G. 100.000.- cada una. El tratamiento contable que corresponde es el de las acciones propias en cartera, por lo que se las registró por su valor nominal en una cuenta denominada Acciones en Tesorería, y por la diferencia de valor entre el valor pagado y el valor nominal se debitó a otra cuenta denominada Prima de Recompra de Acciones, actuando ambas cuentas como Reguladoras del Patrimonio Neto.</t>
  </si>
  <si>
    <t>NOTA 3 - EFECTIVO Y EQUIVALENTE DE EFECTIVO</t>
  </si>
  <si>
    <t>En miles de guaranies</t>
  </si>
  <si>
    <t xml:space="preserve">Cuentas </t>
  </si>
  <si>
    <t>Recaudaciones a Depositar</t>
  </si>
  <si>
    <t>Fondo Fijo</t>
  </si>
  <si>
    <t xml:space="preserve">Fondo de Sencillo </t>
  </si>
  <si>
    <t>Bancos Cuentas Corrientes - Moneda Local (Gs)</t>
  </si>
  <si>
    <t>Bancos Locales Cajas de Ahorros - Moneda Local (Gs)</t>
  </si>
  <si>
    <t>Bancos Locales CTA.CTE Y C.AH - Moneda Extranjera (USD)</t>
  </si>
  <si>
    <t>Bancos Locales - Moneda Extranjera (EU)</t>
  </si>
  <si>
    <t>Total Disponibilidades</t>
  </si>
  <si>
    <t>NOTA 4 - INVERSIONES TEMPORIAS - INVERSIONES FINANCIERAS</t>
  </si>
  <si>
    <t>Casa de Bolsa Puente ME</t>
  </si>
  <si>
    <t>Puente - Fondos Mutuos ML</t>
  </si>
  <si>
    <t>Puente - Fondos Mutuos ME</t>
  </si>
  <si>
    <t>Regional casa de Bolsa S.A ME</t>
  </si>
  <si>
    <t>Pershing LLC- Exterior</t>
  </si>
  <si>
    <t>Casa de Bolsa Cadiem Fondos Mutuos ME</t>
  </si>
  <si>
    <t>Casa de Bolsa Cadiem Fondos Mutuos ML</t>
  </si>
  <si>
    <t>Investor casa de bolsa S.A Fondos mutuos ML</t>
  </si>
  <si>
    <t>Regional casa de Bolsa S.A Fondos MutuosG.</t>
  </si>
  <si>
    <t xml:space="preserve">Casa de Bolsa Avalon - FM G </t>
  </si>
  <si>
    <t>Casa de Bolsa Basa Capital - FM G</t>
  </si>
  <si>
    <t>Investor casa de Bolsa S.A FM ME</t>
  </si>
  <si>
    <t>Itaú Invest.Casa de bolsa FM G</t>
  </si>
  <si>
    <t>Itaú Invest.Casa de Bolsa ME</t>
  </si>
  <si>
    <t xml:space="preserve">Itaú Invest. Casa de Bolsa ML </t>
  </si>
  <si>
    <t xml:space="preserve">CDA- Bonos Basa Capital S.A </t>
  </si>
  <si>
    <t>NOTA 5 - CUENTAS POR COBRAR COMERCIALES</t>
  </si>
  <si>
    <t>A  Total Cartera no Vencida</t>
  </si>
  <si>
    <t>Deudores por ventas locales</t>
  </si>
  <si>
    <t>Moneda Local Guaraníes</t>
  </si>
  <si>
    <t>B. Total Cartera Vencida</t>
  </si>
  <si>
    <t>Moneda Extranjera Dólares</t>
  </si>
  <si>
    <t>Composición Cartera Vencida</t>
  </si>
  <si>
    <t>Deudores - Entidad relacionada</t>
  </si>
  <si>
    <t>Normal</t>
  </si>
  <si>
    <t>En Gestión de Cobro</t>
  </si>
  <si>
    <t>Cheques adelantados recibidos de clientes</t>
  </si>
  <si>
    <t>En Gestión de Cobro Judicial</t>
  </si>
  <si>
    <t>Cheques rechazados</t>
  </si>
  <si>
    <t>Total de la cartera de créditos (A+B)</t>
  </si>
  <si>
    <t xml:space="preserve">Cupones Tj.credito </t>
  </si>
  <si>
    <t xml:space="preserve">Deudores-Otros ingresos exterior </t>
  </si>
  <si>
    <t>(-) Total Previsiones</t>
  </si>
  <si>
    <t>Otros</t>
  </si>
  <si>
    <t>Moneda Extranjera otros</t>
  </si>
  <si>
    <t>Menos Previsiones</t>
  </si>
  <si>
    <t>TOTAL  NETO DE LA CARTERA DE CRÉDITOS</t>
  </si>
  <si>
    <t>Observaciones</t>
  </si>
  <si>
    <t>Criterios de Clasificación utilizados</t>
  </si>
  <si>
    <t>De</t>
  </si>
  <si>
    <t>A</t>
  </si>
  <si>
    <t>En Gestion de cobro</t>
  </si>
  <si>
    <t xml:space="preserve">          Mas de 151 </t>
  </si>
  <si>
    <t>Deudores por ventas en el exterior</t>
  </si>
  <si>
    <t>Deudores en gestión judicial</t>
  </si>
  <si>
    <t>NOTA 6 - OTROS CRÉDITOS</t>
  </si>
  <si>
    <t>La composición de la cuenta es la siguiente:</t>
  </si>
  <si>
    <t>NOTA 6.1 - INVERSIONES FINANCIERAS</t>
  </si>
  <si>
    <t xml:space="preserve">Corrientes - Actividad Comercial  </t>
  </si>
  <si>
    <t xml:space="preserve">No corrientes </t>
  </si>
  <si>
    <t xml:space="preserve">Anticipo de sueldos y comisiones </t>
  </si>
  <si>
    <t xml:space="preserve">Anticipo de remuneraciones Direct. y Gerentes </t>
  </si>
  <si>
    <t>Anticipos para gastos de despachos</t>
  </si>
  <si>
    <t>Intereses a vencer ME-LP</t>
  </si>
  <si>
    <t xml:space="preserve">Anticipo para gastos varios </t>
  </si>
  <si>
    <t>Total Inversiones financieras</t>
  </si>
  <si>
    <t xml:space="preserve">Anticipo para compra de Mercaderías </t>
  </si>
  <si>
    <t xml:space="preserve">Anticipo para compras activo fijo </t>
  </si>
  <si>
    <t xml:space="preserve">Anticipo Varios </t>
  </si>
  <si>
    <t xml:space="preserve">Anticipo para gastos de Viáticos </t>
  </si>
  <si>
    <t>Anticipo para reparación edificios/activo fijo</t>
  </si>
  <si>
    <t xml:space="preserve">Anticipo para instalación de mercaderías </t>
  </si>
  <si>
    <t xml:space="preserve">Préstamos al personal </t>
  </si>
  <si>
    <t xml:space="preserve">Préstamos a terceros </t>
  </si>
  <si>
    <t>Deudores por alquileres a cobrar</t>
  </si>
  <si>
    <t>Garantías de alquiler</t>
  </si>
  <si>
    <t>Intereses s/ Inversiones PF a cobrar</t>
  </si>
  <si>
    <t>Seguros a cobrar</t>
  </si>
  <si>
    <t xml:space="preserve">Retenciones Impuesto a la Renta </t>
  </si>
  <si>
    <t>Deudores por alquileres a cobrar ME</t>
  </si>
  <si>
    <t>Garantías de alquiler ME</t>
  </si>
  <si>
    <t xml:space="preserve">Gastos realizados por cta. De terceros </t>
  </si>
  <si>
    <t xml:space="preserve">Intereses a vencer </t>
  </si>
  <si>
    <t xml:space="preserve">Impuesto al valor agregado </t>
  </si>
  <si>
    <t xml:space="preserve">Retenciones de IVA </t>
  </si>
  <si>
    <t>Alquileres Pagados por Adelantado ME</t>
  </si>
  <si>
    <t xml:space="preserve">Anticipo Impuesto a la Renta </t>
  </si>
  <si>
    <t>Deudores por Vta. de Activo Fijo</t>
  </si>
  <si>
    <t>Préstamos a terceros ME</t>
  </si>
  <si>
    <t xml:space="preserve">Préstamos al personal ME </t>
  </si>
  <si>
    <t xml:space="preserve">Anticipo para préstamos a terceros </t>
  </si>
  <si>
    <t xml:space="preserve">Derechos aduaneros a aplicar </t>
  </si>
  <si>
    <t>Anticipo para Inversiones Financieras ME</t>
  </si>
  <si>
    <t xml:space="preserve">Previsiones para incobrables </t>
  </si>
  <si>
    <t>Intereses pagados a recuperar ME. INV.FINANC</t>
  </si>
  <si>
    <t>Corrientes - Actividad Ganadera</t>
  </si>
  <si>
    <t xml:space="preserve">Anticipo al personal Act.Ganadera </t>
  </si>
  <si>
    <t xml:space="preserve">Anticipos a Contratistas Act. Ganadera </t>
  </si>
  <si>
    <t xml:space="preserve">Anticipos p/ viáticos a la estancia Act. Ganadera </t>
  </si>
  <si>
    <t>Combustibles a utilizar</t>
  </si>
  <si>
    <t xml:space="preserve">Total general Otros créditos Act. Comercial y Ganadera </t>
  </si>
  <si>
    <t xml:space="preserve">NOTA 6 - OTROS ACTIVOS </t>
  </si>
  <si>
    <t>Corrientes</t>
  </si>
  <si>
    <t xml:space="preserve">Impuesto Inmobiliario </t>
  </si>
  <si>
    <t>Tasas Especiales</t>
  </si>
  <si>
    <t>Patente Municipal</t>
  </si>
  <si>
    <t>Impuestos y Tasas s/ Inversiones Inmob.</t>
  </si>
  <si>
    <t>Impuestos y Tasas Prop. Rural</t>
  </si>
  <si>
    <t xml:space="preserve">Total Otros Activos corrientes </t>
  </si>
  <si>
    <t>No Corrientes</t>
  </si>
  <si>
    <t>Derecho Aduanero a Regularizar</t>
  </si>
  <si>
    <t>Impuestos y Tasas Mun. s/ INM.INV.</t>
  </si>
  <si>
    <t>NOTA 7 – INVENTARIOS</t>
  </si>
  <si>
    <t xml:space="preserve">Mercaderías Gravadas </t>
  </si>
  <si>
    <t>Mercaderías S/Dto. 6406/05</t>
  </si>
  <si>
    <t>Mercaderías con Obsolescencia</t>
  </si>
  <si>
    <t xml:space="preserve">Fondo de Obsolescencia </t>
  </si>
  <si>
    <t xml:space="preserve">Repuestos Gravados </t>
  </si>
  <si>
    <t>Repuestos S/Dto. 6406/05</t>
  </si>
  <si>
    <t>Repuestos con Obsolescencia</t>
  </si>
  <si>
    <t xml:space="preserve">Importaciones en curso </t>
  </si>
  <si>
    <t>Anticipo a Proveedores del Exterior</t>
  </si>
  <si>
    <t xml:space="preserve">Total </t>
  </si>
  <si>
    <t xml:space="preserve">Corrientes - Actividad Ganadera </t>
  </si>
  <si>
    <t xml:space="preserve">Hacienda Vacuna </t>
  </si>
  <si>
    <t>Hacienda Vacuna - Capitalización</t>
  </si>
  <si>
    <t xml:space="preserve">Total general Inventarios Corrientes </t>
  </si>
  <si>
    <t>No corrientes - Actividad Comercial</t>
  </si>
  <si>
    <t xml:space="preserve">Repuesto Grav. C/Obsolescencia </t>
  </si>
  <si>
    <t xml:space="preserve">Fondo de Obsolescencia. Repuesto Grav. </t>
  </si>
  <si>
    <t xml:space="preserve">Total general Inventarios no corrientes </t>
  </si>
  <si>
    <t>Nota 8 - INVERSIONES EN ASOCIADAS</t>
  </si>
  <si>
    <t>Las inversiones en sociedades donde no se ejerce control se describen a continuación:</t>
  </si>
  <si>
    <t>Total Inversión</t>
  </si>
  <si>
    <t>a) Datos sobre la sociedad:</t>
  </si>
  <si>
    <t>Nombre de Sociedad</t>
  </si>
  <si>
    <t>RUC</t>
  </si>
  <si>
    <t>Cantidad de acciones</t>
  </si>
  <si>
    <t>Total Patrimonio neto</t>
  </si>
  <si>
    <t>Total del resultado</t>
  </si>
  <si>
    <t>Todo Franquicia S.A</t>
  </si>
  <si>
    <t>80056073-6</t>
  </si>
  <si>
    <t>Confort para el Hogar - CPH S.A</t>
  </si>
  <si>
    <t>80083931-5</t>
  </si>
  <si>
    <t>Best Credit S.A</t>
  </si>
  <si>
    <t>80111979-0</t>
  </si>
  <si>
    <t xml:space="preserve">Best Home S.A </t>
  </si>
  <si>
    <t>80117733-2</t>
  </si>
  <si>
    <t>b) Datos sobre la inversión:</t>
  </si>
  <si>
    <t>Participación sobre los votos (%)</t>
  </si>
  <si>
    <t>Total Inversión (miles de Gs)</t>
  </si>
  <si>
    <t>Participación sobre el Patrimonio Neto (%)</t>
  </si>
  <si>
    <t>Total valuación patrimonial proporcional</t>
  </si>
  <si>
    <t>Resultado sobre inversiones</t>
  </si>
  <si>
    <t>5 voto por accion</t>
  </si>
  <si>
    <t>1 voto por accion</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</si>
  <si>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</si>
  <si>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</si>
  <si>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</si>
  <si>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</si>
  <si>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</si>
  <si>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Ver adicionalmente Norma de Información Financiera N° 11 Propiedades, planta y equipo</t>
  </si>
  <si>
    <t xml:space="preserve">NICOLAS GONZALEZ ODDONE SAECA </t>
  </si>
  <si>
    <t>NOTA 9 - PROPIEDADES, PLANTA Y EQUIPO - NETO</t>
  </si>
  <si>
    <t xml:space="preserve">V     A     L     O    R     E     S        D   E         O     R    I     G     E     N </t>
  </si>
  <si>
    <t xml:space="preserve"> D     E     P     R     E     C     I    A     C     I   O     N     E     S             </t>
  </si>
  <si>
    <t>AL Inicio del periodo</t>
  </si>
  <si>
    <t>Adquisiciones+ Transf. Del periodo</t>
  </si>
  <si>
    <t>Bajas del periodo</t>
  </si>
  <si>
    <t>Revalúo del año</t>
  </si>
  <si>
    <t>Valor  al cierre del periodo</t>
  </si>
  <si>
    <t>Depreciación acumulada  al inicio del año</t>
  </si>
  <si>
    <t>Altas y Transf. Del periodo</t>
  </si>
  <si>
    <t>Bajas de  del periodo</t>
  </si>
  <si>
    <t>Revalúo depreciación acumulada del año</t>
  </si>
  <si>
    <t>Depreciación acumulada  al final del periodo</t>
  </si>
  <si>
    <t>Valor neto resultante</t>
  </si>
  <si>
    <r>
      <rPr>
        <b/>
        <u/>
        <sz val="9"/>
        <rFont val="Arial"/>
        <family val="2"/>
      </rPr>
      <t>Actividad Comercial</t>
    </r>
    <r>
      <rPr>
        <u/>
        <sz val="9"/>
        <rFont val="Arial"/>
        <family val="2"/>
      </rPr>
      <t xml:space="preserve"> </t>
    </r>
  </si>
  <si>
    <t xml:space="preserve">Muebles, Útiles y enseres </t>
  </si>
  <si>
    <t xml:space="preserve">Máquinas de Oficinas </t>
  </si>
  <si>
    <t>Maquinarias, Herramientas y Equipos</t>
  </si>
  <si>
    <t xml:space="preserve">Edificios y Construcciones </t>
  </si>
  <si>
    <t xml:space="preserve">Transportes Terrestres </t>
  </si>
  <si>
    <t xml:space="preserve">Instalaciones </t>
  </si>
  <si>
    <t>Construcciones en curso</t>
  </si>
  <si>
    <t xml:space="preserve">Construcciones en previo Ajeno </t>
  </si>
  <si>
    <t>Aviones</t>
  </si>
  <si>
    <t>Sub Totales</t>
  </si>
  <si>
    <t>Actividad Ganadera</t>
  </si>
  <si>
    <t xml:space="preserve">Construcciones </t>
  </si>
  <si>
    <t>Mejoras</t>
  </si>
  <si>
    <t>Muebles y Equipos</t>
  </si>
  <si>
    <t xml:space="preserve">Maquinarias e Implementos </t>
  </si>
  <si>
    <t xml:space="preserve">Equipos y Herramientas </t>
  </si>
  <si>
    <t>Equipos de Comunicación</t>
  </si>
  <si>
    <t>NO SUJETOS A DEPRECIACION</t>
  </si>
  <si>
    <t xml:space="preserve">Actividad Comercial </t>
  </si>
  <si>
    <t xml:space="preserve">Inmuebles-Terrenos </t>
  </si>
  <si>
    <t>Inmuebles Rurales</t>
  </si>
  <si>
    <t>Hacienda Permanente</t>
  </si>
  <si>
    <t>Pasturas</t>
  </si>
  <si>
    <t xml:space="preserve">Total General </t>
  </si>
  <si>
    <t>Propiedad, planta y equipo</t>
  </si>
  <si>
    <t>(Detallar bienes de uso)</t>
  </si>
  <si>
    <t>(Detallar activos intangibles)</t>
  </si>
  <si>
    <t>Inversiones</t>
  </si>
  <si>
    <t xml:space="preserve">Inmuebles - Edificios y terrenos </t>
  </si>
  <si>
    <t>1 INM. COLONIA INDEP. 360 M2 PADRON 18219,1 INM. COL.IND. 361 PADRON 18220, 3 INM ENCARN. 508 M2 CCC23-1685-09 , 4 INM. COLONIA TACUARI, 1082 M2 PADRON 11512</t>
  </si>
  <si>
    <t>CTA CTE 17225-06 LOTE 14 MANZANA G HORQUETA RUTA V KM40</t>
  </si>
  <si>
    <t>CTA CTE 17-228-03 LOTE 2 MANZANA I HORQUETA RUTA V</t>
  </si>
  <si>
    <t>CTA CTE CAT 30-0023-21 VILLAHAYES MAT P01/5 187</t>
  </si>
  <si>
    <t>CTA. CTE. CAT Nº 17-0423-03 DISTRITO DE CONCEPCION</t>
  </si>
  <si>
    <t>CTA. CTE. CAT nº 18/1705 PADRON 2016- CAPIIBARY</t>
  </si>
  <si>
    <t>CTA. CTE. CAT. Nº 27-1538-03 LUQUE LOTE 5</t>
  </si>
  <si>
    <t>CTA. CTE. CAT. Nº 27-5132-03/04/05 DTO. CAPIATA</t>
  </si>
  <si>
    <t>CTA. CTE. Nº 12-0323-08 SUP 1116,5 M2FINCA 11-252 ESPAÑA 663 DTO.SAN ROQUE</t>
  </si>
  <si>
    <t>CTA. CTE. Nº 12-0578-05 ARTIGAS (EX ALARCON)</t>
  </si>
  <si>
    <t>CTA.CTE. CAT. Nº 12-0578-04 LOTE 19 Y 20- ARTIGAS</t>
  </si>
  <si>
    <t>CTA.CTE. CAT. Nº 19-0063-08 FINCA Nº 271- CAACUPE</t>
  </si>
  <si>
    <t>CTA.CTE.CAT. 11-0058-12 CABALLERO Y A.</t>
  </si>
  <si>
    <t>CTA.CTE.CAT. 11-0058-13 CABALLERO Y AZARA</t>
  </si>
  <si>
    <t>CTA.CTE.CAT. 11-0058-14 CABALLERO Y A.</t>
  </si>
  <si>
    <t>CTA.CTE.CAT. 11-0058-15 CABALLERO Y A.</t>
  </si>
  <si>
    <t>CTA.CTE.CAT. 11-0058-16 CABALLERO Y A.</t>
  </si>
  <si>
    <t>CTA.CTE.CAT. 11-0076-20 CABALLERO Y MD</t>
  </si>
  <si>
    <t>CTA.CTE.CAT. 13-0620-09/10/11 PIZARRO</t>
  </si>
  <si>
    <t>CTA.CTE.CAT. 15-0885-01 JULIO C.</t>
  </si>
  <si>
    <t>CTA.CTE.CAT. 15-0885-18</t>
  </si>
  <si>
    <t>CTA.CTE.CAT. 27-0081-11 CALLE 28 DE FEBRERO</t>
  </si>
  <si>
    <t>CTA.CTE.CAT. 27-0552-16 ITAUGUA</t>
  </si>
  <si>
    <t>CTA.CTE.CAT. 27-1077-13/14 - AREGUA</t>
  </si>
  <si>
    <t>CTA.CTE.CAT. 27-1734-01 GALERIA SL</t>
  </si>
  <si>
    <t>CTA.CTE.CAT.26-2259-03-04-05 C.ESTE.</t>
  </si>
  <si>
    <t>ASFALTADO 17-0081-11</t>
  </si>
  <si>
    <t>CURUGUATY PADRON Nº 1763</t>
  </si>
  <si>
    <t>DEP. NRO A101 BLOQUE A 1ER PISO Y 2 COLCH. 20 Y 21 COCH ADIC 5 BALKONIA</t>
  </si>
  <si>
    <t xml:space="preserve">FINCA Nº7 DIST.STA.ROSA DEL AGUARAY, PADRON 13 LOTE1 MANZ34 GUSTAVO DIAZ </t>
  </si>
  <si>
    <t xml:space="preserve">DISTRITO ABAI, FINCA 2207, PADRON 3198 SUPERF. 9999m2 </t>
  </si>
  <si>
    <t>INMUEBLE FINCA 7745 DEPART. CAAZAPA,FRACCION LOMA CLAVEL 1000MTRS.</t>
  </si>
  <si>
    <t>FINCA 903 SUP. 588 M2 LOTE 7 MANZANA 11 YBY YAU</t>
  </si>
  <si>
    <t>FINCA N° 21-289 - CAAGUAZU PADRON 17946</t>
  </si>
  <si>
    <t>FINCA Nº 29584, PADRON Nº 26964, CAPIATA</t>
  </si>
  <si>
    <t>FRACCION SOL NACIENTE LOTE Nº9 MANZANA 06 CTA CTE. 27-0129-18</t>
  </si>
  <si>
    <t>INMUEBLE CON FINCA 24282 CDE</t>
  </si>
  <si>
    <t>INMUEBLES CON MAT.K01/32285 HERNANDARIAS</t>
  </si>
  <si>
    <t>LOTE 1 PADRON 12192 FINCA 1173 MAT 19371 CAACUPE</t>
  </si>
  <si>
    <t>PADRON 6324 BO TELLEZ CUE CNEL BOGADO ITAPUA</t>
  </si>
  <si>
    <t>PADRON Nº 1266 / FINCA Nº 1147 - AYOLAS</t>
  </si>
  <si>
    <t xml:space="preserve">DISTRITO DE ITAUGUA SUPERFICIE de 900 m2., FINCA Nº 15.972, PADRON Nº 15.461 </t>
  </si>
  <si>
    <t>CCC27-0190-27 FINCA 10886 SAN LORENZO</t>
  </si>
  <si>
    <t xml:space="preserve">CCC 26-0971-20, distrito CDE, 736m2 AVDA. BERNARDINO CABALLERO </t>
  </si>
  <si>
    <t xml:space="preserve">DISTRI.SAN LORENZO LOTE 7 CCC27-4056-11 367m2 </t>
  </si>
  <si>
    <t>CTA CTE CAT 19-2650-08 427,68m2 CAACUPE</t>
  </si>
  <si>
    <t>Total general</t>
  </si>
  <si>
    <t xml:space="preserve">NOTA 10 - CREDITOS POR VENTAS </t>
  </si>
  <si>
    <t>CDA Bancop</t>
  </si>
  <si>
    <t>NOTA 11 – ACTIVOS INTANGIBLES</t>
  </si>
  <si>
    <t>Actividad Comercial</t>
  </si>
  <si>
    <t xml:space="preserve">Marcas </t>
  </si>
  <si>
    <t>Gastos de Organización</t>
  </si>
  <si>
    <t>Amortización acum. Gastos de Organiz.</t>
  </si>
  <si>
    <t>Licencias de Informática</t>
  </si>
  <si>
    <t>Amortización acum. Licenc. de Informática</t>
  </si>
  <si>
    <t>Programas de Informática</t>
  </si>
  <si>
    <t>Amortización acum. Programas de Inform.</t>
  </si>
  <si>
    <t xml:space="preserve">Licencias para Teléfonos </t>
  </si>
  <si>
    <t xml:space="preserve">Amortización acum. Lic. para teléfonos </t>
  </si>
  <si>
    <t>Programas de Informática en Línea S.A</t>
  </si>
  <si>
    <t>Amortización acum. Program. de inf. en línea</t>
  </si>
  <si>
    <t xml:space="preserve">Actividad Ganadera </t>
  </si>
  <si>
    <t xml:space="preserve">Marca NGO </t>
  </si>
  <si>
    <t>Amortización acum. Marcas y señales</t>
  </si>
  <si>
    <t xml:space="preserve">Licencias de Informática Act. Ganadera </t>
  </si>
  <si>
    <t>Amortización acum. Lic. De Informática Act. Ganad.</t>
  </si>
  <si>
    <t>NOTA 12 – GOODWILL</t>
  </si>
  <si>
    <t>NO APLICA</t>
  </si>
  <si>
    <t xml:space="preserve">NOTA 13 – CUENTAS POR PAGAR COMERCIALES </t>
  </si>
  <si>
    <t xml:space="preserve">Proveedores del Exterior </t>
  </si>
  <si>
    <t>Jose Alladio e Hijo Sa</t>
  </si>
  <si>
    <t>Guangdong Chigo Heating / Guangdong Gimee Technology</t>
  </si>
  <si>
    <t>Seb do Brasil</t>
  </si>
  <si>
    <t>Whirlpool S.A</t>
  </si>
  <si>
    <t>Rational International AG</t>
  </si>
  <si>
    <t>Refrimate engenharia do frio LTDA.</t>
  </si>
  <si>
    <t>Whirlpool Chile LTDA.</t>
  </si>
  <si>
    <t>Kronen Internacional S.A</t>
  </si>
  <si>
    <t>Shanghai Qi Yun Enterprise</t>
  </si>
  <si>
    <t>Whirlpool Corporation</t>
  </si>
  <si>
    <t>New Order comercio Import. e Export. LTDA.</t>
  </si>
  <si>
    <t>Middleby Worldwide Sociedad Anónima</t>
  </si>
  <si>
    <t>York InternationalCorporation</t>
  </si>
  <si>
    <t>Vitamix corporation</t>
  </si>
  <si>
    <t>Groupe Seb Chile com. LTD</t>
  </si>
  <si>
    <t>Sony Uruguay Branck de Sony Latin</t>
  </si>
  <si>
    <t>Cem S.A</t>
  </si>
  <si>
    <t>Metalurgica Siemsen LTDA.</t>
  </si>
  <si>
    <t>Madson Electrometalúrgica LTDA.</t>
  </si>
  <si>
    <t>Mercofricon S.A</t>
  </si>
  <si>
    <t>Metalúrgica Trapp S.A</t>
  </si>
  <si>
    <t>Glaziar Electrical Appliances S.L</t>
  </si>
  <si>
    <t>LG electronics inc.</t>
  </si>
  <si>
    <t xml:space="preserve">Proveedores Locales </t>
  </si>
  <si>
    <t>Bancard S.A</t>
  </si>
  <si>
    <t xml:space="preserve">Total general </t>
  </si>
  <si>
    <t>NOTA 14 – DEUDAS BANCARIAS - PRESTAMOS A CORTO PLAZO</t>
  </si>
  <si>
    <r>
      <rPr>
        <b/>
        <u/>
        <sz val="9"/>
        <color theme="1"/>
        <rFont val="Arial"/>
        <family val="2"/>
      </rPr>
      <t>Préstamos de Entidades Locales</t>
    </r>
    <r>
      <rPr>
        <b/>
        <sz val="9"/>
        <color theme="1"/>
        <rFont val="Arial"/>
        <family val="2"/>
      </rPr>
      <t xml:space="preserve"> </t>
    </r>
  </si>
  <si>
    <t xml:space="preserve">Por Cartas de Crédito </t>
  </si>
  <si>
    <t>Vencimiento</t>
  </si>
  <si>
    <t>Símbolo</t>
  </si>
  <si>
    <t>Moneda</t>
  </si>
  <si>
    <t xml:space="preserve"> </t>
  </si>
  <si>
    <t>Tipo de Garantía</t>
  </si>
  <si>
    <t xml:space="preserve">Símbolo </t>
  </si>
  <si>
    <t>Importe (miles de Gs)</t>
  </si>
  <si>
    <t xml:space="preserve">BBVA Banco </t>
  </si>
  <si>
    <t>S/tipo de Negociación</t>
  </si>
  <si>
    <t>USD</t>
  </si>
  <si>
    <t xml:space="preserve">A sola firma </t>
  </si>
  <si>
    <t xml:space="preserve">Banco Regional S.A.E.C.A </t>
  </si>
  <si>
    <t xml:space="preserve">A sola Firma </t>
  </si>
  <si>
    <t xml:space="preserve">Banco Itaú S.A </t>
  </si>
  <si>
    <t xml:space="preserve">Banco Basa </t>
  </si>
  <si>
    <t xml:space="preserve">Por Préstamos </t>
  </si>
  <si>
    <t>Banco Itaú - Préstamos</t>
  </si>
  <si>
    <t>PYG</t>
  </si>
  <si>
    <t>Guarani</t>
  </si>
  <si>
    <t xml:space="preserve">Banco Citybank- Préstamos </t>
  </si>
  <si>
    <t xml:space="preserve">Banco GNB- Préstamos </t>
  </si>
  <si>
    <t>Intereses préstamos entidades financieras a pagar</t>
  </si>
  <si>
    <t>Intereses s/ préstamos bancarios a pagar</t>
  </si>
  <si>
    <t xml:space="preserve">Mensual </t>
  </si>
  <si>
    <t>-</t>
  </si>
  <si>
    <t xml:space="preserve">(-) Intereses s/ préstamos bancarios a Vencer </t>
  </si>
  <si>
    <t xml:space="preserve">Total general deudas Bancarias </t>
  </si>
  <si>
    <t>NOTA 15 – PORCION CORRIENTE DE LA DEUDA A LARGO PLAZO</t>
  </si>
  <si>
    <t>Cuentas por pagar comerciales</t>
  </si>
  <si>
    <t>Préstamos bancarios</t>
  </si>
  <si>
    <t>Bonos bursátiles</t>
  </si>
  <si>
    <t>Intereses bancarios a pagar</t>
  </si>
  <si>
    <t>Intereses bursatiles a pagar</t>
  </si>
  <si>
    <t>NOTA 16 – REMUNERACIONES Y CARGAS SOCIALES A PAGAR</t>
  </si>
  <si>
    <t xml:space="preserve">Seguro social I.P.S </t>
  </si>
  <si>
    <t xml:space="preserve">Sueldos y comisiones a Pagar </t>
  </si>
  <si>
    <t>Aguinaldos a Pagar</t>
  </si>
  <si>
    <t xml:space="preserve">Gratificaciones/Bonificaciones  a Pagar </t>
  </si>
  <si>
    <t xml:space="preserve">Previsiones s/ desvinculaciones a pagar </t>
  </si>
  <si>
    <t xml:space="preserve">Seguro Social I.P.S a pagar Act. Ganadera </t>
  </si>
  <si>
    <t>Sueldos y Jornales a pagar Act. Ganadera.</t>
  </si>
  <si>
    <t>Aguinaldos a pagar Act.Ganadera</t>
  </si>
  <si>
    <t>NOTA 17 –  IMPUESTOS A PAGAR</t>
  </si>
  <si>
    <t xml:space="preserve">cuentas </t>
  </si>
  <si>
    <t xml:space="preserve">Impuesto al Valor Agregado </t>
  </si>
  <si>
    <t xml:space="preserve">Retenciones de Impuestos </t>
  </si>
  <si>
    <t>Impuesto a la renta a pagar</t>
  </si>
  <si>
    <t xml:space="preserve">Retencion de Impuesto Prov.Locales </t>
  </si>
  <si>
    <t>Retención IRE a pagar</t>
  </si>
  <si>
    <t xml:space="preserve">IVA aduana a pagar </t>
  </si>
  <si>
    <t>Total Impuestos a pagar</t>
  </si>
  <si>
    <t>NOTA 18 -  PROVISIONES</t>
  </si>
  <si>
    <t xml:space="preserve">Provisiones Moneda Local </t>
  </si>
  <si>
    <t xml:space="preserve">Publicidad a Pagar </t>
  </si>
  <si>
    <t>Cuentas a pagar</t>
  </si>
  <si>
    <t>Fletes a pagar</t>
  </si>
  <si>
    <t xml:space="preserve">Seguros a Pagar </t>
  </si>
  <si>
    <t xml:space="preserve">Despachantes - Ctas. a Pagar </t>
  </si>
  <si>
    <t xml:space="preserve">Cheques emitidos al Cobro </t>
  </si>
  <si>
    <t xml:space="preserve">Remuneración síndico a pagar </t>
  </si>
  <si>
    <t>Remuner. Direct. Y Gerente a pagar</t>
  </si>
  <si>
    <t>Honorarios Profesionales a Pagar</t>
  </si>
  <si>
    <t>Cuentas a pagar - Tarjetas</t>
  </si>
  <si>
    <t xml:space="preserve">Cuentas a Pagar - Vales </t>
  </si>
  <si>
    <t xml:space="preserve">Cuentas a Pagar Instaladores </t>
  </si>
  <si>
    <t xml:space="preserve">Seguros a Vencer </t>
  </si>
  <si>
    <t xml:space="preserve">Cuentas a Vencer </t>
  </si>
  <si>
    <t>Viáticos a Reembolsar</t>
  </si>
  <si>
    <t>Provisiones Moneda Extranjera</t>
  </si>
  <si>
    <t>Publicidad a Pagar M.E</t>
  </si>
  <si>
    <t>Cuentas a pagar M.E</t>
  </si>
  <si>
    <t>Fletes a pagar M.E</t>
  </si>
  <si>
    <t>Seguros a pagar M.E</t>
  </si>
  <si>
    <t>Honorarios Profesionales M.E a pagar</t>
  </si>
  <si>
    <t xml:space="preserve">Intereses M.E a devengar </t>
  </si>
  <si>
    <t xml:space="preserve">Seguros M.E a vencer </t>
  </si>
  <si>
    <t xml:space="preserve">Cuentas ME  vencer </t>
  </si>
  <si>
    <t xml:space="preserve">Total General Provisiones Act. Comercial </t>
  </si>
  <si>
    <t>Seguros a pagar Act. Ganadera</t>
  </si>
  <si>
    <t xml:space="preserve">Cuentas a pagar Act. Ganadera </t>
  </si>
  <si>
    <t xml:space="preserve">Seguros a Vencer Act. Ganadera </t>
  </si>
  <si>
    <t xml:space="preserve">Cuentas a pagar M.E Act. Ganadera </t>
  </si>
  <si>
    <t xml:space="preserve">Total General Provisiones Act. Ganadera </t>
  </si>
  <si>
    <t xml:space="preserve">Total Provisiones </t>
  </si>
  <si>
    <t xml:space="preserve">NOTA 19 – OTROS PASIVOS CORRIENTES </t>
  </si>
  <si>
    <t xml:space="preserve">Otros Pasivos corrientes Moneda Local </t>
  </si>
  <si>
    <t xml:space="preserve">Anticipos de Clientes </t>
  </si>
  <si>
    <t xml:space="preserve">Garantías de Alquiler </t>
  </si>
  <si>
    <t xml:space="preserve">Señas </t>
  </si>
  <si>
    <t xml:space="preserve">Anticipos Varios </t>
  </si>
  <si>
    <t>Comisiones s/ Vtas. A pagar</t>
  </si>
  <si>
    <t>Dividendos a pagar</t>
  </si>
  <si>
    <t>Otros Pasivos Corrientes Moneda Extranjera</t>
  </si>
  <si>
    <t>Anticipos de clientes M.E</t>
  </si>
  <si>
    <t>Garantías de Alquiler M.E</t>
  </si>
  <si>
    <t xml:space="preserve">Ingresos No Devengados </t>
  </si>
  <si>
    <t>Ingresos no devengados</t>
  </si>
  <si>
    <t xml:space="preserve">Total general Otros Pasivos Corrientes </t>
  </si>
  <si>
    <t xml:space="preserve">NOTA 19.1 –PASIVOS NO CORRIENTES </t>
  </si>
  <si>
    <t>Otros Pasivos corrientes Moneda Extranjera</t>
  </si>
  <si>
    <t>Intereses a Devengar ME LP</t>
  </si>
  <si>
    <t>NOTA 20 – CAPITAL INTEGRADO</t>
  </si>
  <si>
    <t xml:space="preserve">Capital </t>
  </si>
  <si>
    <t xml:space="preserve">Capital Suscripto </t>
  </si>
  <si>
    <t>Capital a Integrar</t>
  </si>
  <si>
    <t xml:space="preserve">Acciones en tesorería </t>
  </si>
  <si>
    <t xml:space="preserve">Premio de Emisión </t>
  </si>
  <si>
    <t xml:space="preserve">Cantidad de Acciones </t>
  </si>
  <si>
    <t>Valor Nominal de Acciones</t>
  </si>
  <si>
    <t>NOTA 21 – RESERVAS</t>
  </si>
  <si>
    <t xml:space="preserve">a.1 Reserva de revalúo Ley 125/91 </t>
  </si>
  <si>
    <t xml:space="preserve">a.2 Reserva de revalúo Técnico </t>
  </si>
  <si>
    <t>b.1 Reserva legal</t>
  </si>
  <si>
    <t>b.2 Reserva legal CPH</t>
  </si>
  <si>
    <t>c Reservas estatutarias</t>
  </si>
  <si>
    <t>d Reservas facultativas</t>
  </si>
  <si>
    <t>d.1. (nuevas cuentas a incluir)</t>
  </si>
  <si>
    <t>d.2. (nuevas cuentas a incluir)</t>
  </si>
  <si>
    <t xml:space="preserve">c. Reserva para Capitalización </t>
  </si>
  <si>
    <t>Correspondiente a las Acciones en Tesoreria</t>
  </si>
  <si>
    <t>* Prima de compra de Acciones</t>
  </si>
  <si>
    <t xml:space="preserve">Total general Reservas </t>
  </si>
  <si>
    <t>NOTA 22 –  DIFERENCIA TRANSITORIA POR CONVERSION</t>
  </si>
  <si>
    <t>NOTA 23 –  RESULTADOS ACUMULADOS</t>
  </si>
  <si>
    <t>Cuenta</t>
  </si>
  <si>
    <t>Resultados Acumulados</t>
  </si>
  <si>
    <t>Totales</t>
  </si>
  <si>
    <t>Resultado de ejercicios anteriores</t>
  </si>
  <si>
    <t xml:space="preserve">Resultado del ejercicio </t>
  </si>
  <si>
    <t>NOTA 24 –  INTERES MINORITARIO</t>
  </si>
  <si>
    <t>NOTA 25 –  VENTAS</t>
  </si>
  <si>
    <t xml:space="preserve">Ventas de Mercaderías </t>
  </si>
  <si>
    <t xml:space="preserve">Venta de Repuestos </t>
  </si>
  <si>
    <t>Ventas Servicio Técnico</t>
  </si>
  <si>
    <t xml:space="preserve">Total Ventas Actividad Comercial </t>
  </si>
  <si>
    <t xml:space="preserve">Ventas Activ. Ganadera </t>
  </si>
  <si>
    <t>Ventas Activ. Ganadera capitalización</t>
  </si>
  <si>
    <t>Ventas Equinos</t>
  </si>
  <si>
    <t>Total Ventas Actividad  Ganadera</t>
  </si>
  <si>
    <t>NOTA 26 - COSTO DE VENTAS</t>
  </si>
  <si>
    <t>Miles de guaraníes</t>
  </si>
  <si>
    <t xml:space="preserve">Comercial </t>
  </si>
  <si>
    <t>Existencia inicial del inventario</t>
  </si>
  <si>
    <t>+ Compra de bienes y servicios</t>
  </si>
  <si>
    <t>+ Costo de producción</t>
  </si>
  <si>
    <t>- Existencia final de inventario</t>
  </si>
  <si>
    <t xml:space="preserve">Ganadera </t>
  </si>
  <si>
    <t>Tranferencia por reclasificacion de ganado/VM</t>
  </si>
  <si>
    <t xml:space="preserve">Total costo de ventas </t>
  </si>
  <si>
    <t>NOTA 27 - GASTOS</t>
  </si>
  <si>
    <t>Gastos de Ventas</t>
  </si>
  <si>
    <t>Gastos Administrativos</t>
  </si>
  <si>
    <t>Movilidad y viáticos</t>
  </si>
  <si>
    <t xml:space="preserve">Combustibles y lubricantes </t>
  </si>
  <si>
    <t>Gastos de alquiler</t>
  </si>
  <si>
    <t>Computación y redes</t>
  </si>
  <si>
    <t>Gastos por servicios</t>
  </si>
  <si>
    <t>Honorarios profesionales y asesoramiento</t>
  </si>
  <si>
    <t>Impuestos y tasas</t>
  </si>
  <si>
    <t>Gastos de reparación y mantenimiento</t>
  </si>
  <si>
    <t>Seguros pagados</t>
  </si>
  <si>
    <t>Otros gastos de operación</t>
  </si>
  <si>
    <t>Remuneraciones de administradores, directores, síndicos y consejo de vigilancia</t>
  </si>
  <si>
    <t>Sueldos y Jornales</t>
  </si>
  <si>
    <t>Contribuciones Sociales</t>
  </si>
  <si>
    <t>Gastos del personal y capacitación</t>
  </si>
  <si>
    <t xml:space="preserve">Comisiones a Vendedores </t>
  </si>
  <si>
    <t>Honorarios por servicios técnicos</t>
  </si>
  <si>
    <t>Gastos de Publicidad y Propaganda</t>
  </si>
  <si>
    <t>Intereses, multas y recargos impositivos</t>
  </si>
  <si>
    <t>Intereses a bancos e inst. financieras</t>
  </si>
  <si>
    <t>Depreciación bienes de uso</t>
  </si>
  <si>
    <t>Amortización activos intangibles</t>
  </si>
  <si>
    <t>Previsiones</t>
  </si>
  <si>
    <t>Gastos de Distribución</t>
  </si>
  <si>
    <t>Nota 28 - Otros Ingresos y gastos operativos</t>
  </si>
  <si>
    <t xml:space="preserve">Otros Ingresos </t>
  </si>
  <si>
    <t>Otros gastos</t>
  </si>
  <si>
    <t>Créditos Recuperados Gr. y Ex.</t>
  </si>
  <si>
    <t xml:space="preserve">Gastos Administrativos </t>
  </si>
  <si>
    <t>Reembolso de Seguros Gr.</t>
  </si>
  <si>
    <t>Gastos de Explotación</t>
  </si>
  <si>
    <t>Ingresos por comisiones</t>
  </si>
  <si>
    <t xml:space="preserve">Depreciación Bienes de uso </t>
  </si>
  <si>
    <t>Ingresos Varios GR.</t>
  </si>
  <si>
    <t>Amortización Licencias Informática</t>
  </si>
  <si>
    <t>Otros ingresos Varios GR.</t>
  </si>
  <si>
    <t xml:space="preserve">Gastos de Ventas </t>
  </si>
  <si>
    <t>Ingresos varios EX de IVA</t>
  </si>
  <si>
    <t>Gastos de Ventas Capitalización</t>
  </si>
  <si>
    <t>Diferencias de Cambios</t>
  </si>
  <si>
    <t xml:space="preserve">Ingresos por servicios de Logística </t>
  </si>
  <si>
    <t>Pérdida de Inventarios</t>
  </si>
  <si>
    <t xml:space="preserve">Ingresos varios de logística </t>
  </si>
  <si>
    <t>Ingresos varios de T.I</t>
  </si>
  <si>
    <t>Fletes cobrados</t>
  </si>
  <si>
    <t>Desafectación de Mercad. y Rep c/Obsol.</t>
  </si>
  <si>
    <t xml:space="preserve">Otros ingresos Varios de ventas </t>
  </si>
  <si>
    <t xml:space="preserve">Ingresos varios GR.de ventas </t>
  </si>
  <si>
    <t xml:space="preserve">Ingresos por Acuerdos comerciales </t>
  </si>
  <si>
    <t xml:space="preserve">Publicidad Cobrada </t>
  </si>
  <si>
    <t>Ingresos varios de Marketing</t>
  </si>
  <si>
    <t xml:space="preserve">Otros Ingresos varios GR-repuestos </t>
  </si>
  <si>
    <t>Servicio de Delivery - Repuestos</t>
  </si>
  <si>
    <t>Servicio de Delivery - ST</t>
  </si>
  <si>
    <t xml:space="preserve">Ingresos por servicios varios ST </t>
  </si>
  <si>
    <t xml:space="preserve">Otros ingresos varios ST </t>
  </si>
  <si>
    <t>Otros ingresos varios Gr ST</t>
  </si>
  <si>
    <t>Ingresos extraordinarios -devoluc.der.Aduan.</t>
  </si>
  <si>
    <t xml:space="preserve">Resultado de ejercicios anteriores </t>
  </si>
  <si>
    <t>Total Otros Ingresos Act. Comerc.</t>
  </si>
  <si>
    <t xml:space="preserve">Diferencias de Cambios </t>
  </si>
  <si>
    <t xml:space="preserve">Ingresos Varios </t>
  </si>
  <si>
    <t xml:space="preserve">Resultados vta. Activo fijo </t>
  </si>
  <si>
    <t xml:space="preserve">Valor Neto de Realización </t>
  </si>
  <si>
    <t>Total Otros Ingresos Act.Ganad.</t>
  </si>
  <si>
    <t xml:space="preserve">Total General Otros Ingresos </t>
  </si>
  <si>
    <t>Nota 28.1 - Otros Ingresos y gastos no operativos</t>
  </si>
  <si>
    <t xml:space="preserve">Alquileres ganados </t>
  </si>
  <si>
    <t xml:space="preserve">Resultado Vtas. Bienes de uso </t>
  </si>
  <si>
    <t>Resultado Vtas. Inmuebles de Invers.</t>
  </si>
  <si>
    <t>Otros ingresos de Inversiones Inmob.</t>
  </si>
  <si>
    <t>Patentes y tasas municipales</t>
  </si>
  <si>
    <t>Impuesto a la construcción</t>
  </si>
  <si>
    <t>Mantenimiento de Edificios de Invers.</t>
  </si>
  <si>
    <t>Seguros de Edificios de invers.</t>
  </si>
  <si>
    <t>Gastos varios de Invers.</t>
  </si>
  <si>
    <t>Gastos varios de Invers Gnd.</t>
  </si>
  <si>
    <t>Servicios de seguridad Inv. Inmob.</t>
  </si>
  <si>
    <t xml:space="preserve">Pérdida en vta. Bienes de uso </t>
  </si>
  <si>
    <t xml:space="preserve">Pérdida por Siniestros </t>
  </si>
  <si>
    <t xml:space="preserve">Total General Otros Resultados no operativos </t>
  </si>
  <si>
    <t>NOTA 29 - INGRESOS Y GASTOS FINANCIEROS NETOS</t>
  </si>
  <si>
    <t xml:space="preserve">Ingresos Financieros Netos </t>
  </si>
  <si>
    <t>Gastos Financieros netos</t>
  </si>
  <si>
    <t>Intereses Cajas de ahorro</t>
  </si>
  <si>
    <t xml:space="preserve">Intereses y com. Bancarios </t>
  </si>
  <si>
    <t>Diferencias de Cambios GR. Financ.</t>
  </si>
  <si>
    <t xml:space="preserve">Intereses y com.S/Prest.Bancarios </t>
  </si>
  <si>
    <t>Intereses p/ Refinanciaciones Grav.</t>
  </si>
  <si>
    <t>Diferencias de cambios GR.Gtos. Financ.</t>
  </si>
  <si>
    <t xml:space="preserve">Intereses Cobrados </t>
  </si>
  <si>
    <t>Diferencias de cambios Gtos. Financ.</t>
  </si>
  <si>
    <t>Intereses p/ Vta. A credito Grav.</t>
  </si>
  <si>
    <t xml:space="preserve">Intereses y com. pag. p/ invers. En Bonos </t>
  </si>
  <si>
    <t>Total ingresos financieros</t>
  </si>
  <si>
    <t>Total gastos financieros</t>
  </si>
  <si>
    <t>NOTA 29.1 - INGRESOS Y GASTOS  DE INVERSIONES FINANCIERAS</t>
  </si>
  <si>
    <t>Ingresos de Inversión Financiera</t>
  </si>
  <si>
    <t>Gastos de Inversión Financiera</t>
  </si>
  <si>
    <t>Intereses por Inversiones financieras EX</t>
  </si>
  <si>
    <t>Intereses y com.p/Invers. Financ. EX</t>
  </si>
  <si>
    <t>Diferencias de cambio GR. INV.FIN.</t>
  </si>
  <si>
    <t>Dif.de cambios Gr. G.Inv.FIN.</t>
  </si>
  <si>
    <t xml:space="preserve">Ganancias por valuación </t>
  </si>
  <si>
    <t>Dif.de cambios EX.INV.FIN.</t>
  </si>
  <si>
    <t xml:space="preserve">Intereses por Inversiones financieras </t>
  </si>
  <si>
    <t xml:space="preserve">Pérdidas por valuacion </t>
  </si>
  <si>
    <t>Diferencias de cambio Inv.fin.Ex</t>
  </si>
  <si>
    <t>Total Gatos de Inv. Financiera</t>
  </si>
  <si>
    <t>Total Ingresos de Inv. Financ.</t>
  </si>
  <si>
    <t>Nota 30 - Resultado de inversiones en asociadas</t>
  </si>
  <si>
    <t>Cuentas</t>
  </si>
  <si>
    <t>Resultado en inversiones permanentes</t>
  </si>
  <si>
    <t>Ajuste VPP</t>
  </si>
  <si>
    <t xml:space="preserve">El resultado de las inversiones en las empresas asociadas, son reconocidas al cierre de año, aplicando el VPP. </t>
  </si>
  <si>
    <t>Nota 31 - Resultado participación minoritaria</t>
  </si>
  <si>
    <t>(Detallar cuenta)</t>
  </si>
  <si>
    <t>Nota 32 - IMPUESTO A LA RENTA</t>
  </si>
  <si>
    <t>Impuesto a la Renta Ley 125/91</t>
  </si>
  <si>
    <t>Impuesto a la renta adic. p/ distrib. Utilid.</t>
  </si>
  <si>
    <t>Nota 33 - Resultado extraordinario neto de impuesto a la renta</t>
  </si>
  <si>
    <t>Conceptos</t>
  </si>
  <si>
    <t>(Detallar)</t>
  </si>
  <si>
    <t>Nota 34 - Resultado sobre actividades discontinuadas neto de impuesto a la renta</t>
  </si>
  <si>
    <t>(nueva cuenta a incluir)</t>
  </si>
  <si>
    <t>- Impuesto a la renta</t>
  </si>
  <si>
    <t>NOTA 35- UTILIDAD (PÉRDIDA) NETA DEL AÑO Y POR ACCION ORDINARIA</t>
  </si>
  <si>
    <t>Cantidad de Acciones Ordinarias Nominativas Clase A</t>
  </si>
  <si>
    <t>Cantidad de Acciones Ordinarias Nominativas Clase B</t>
  </si>
  <si>
    <t xml:space="preserve">Cantidad de Acciones Preferidas Nominativas Clase C </t>
  </si>
  <si>
    <t xml:space="preserve">Total Acciones </t>
  </si>
  <si>
    <t>Utilidad Neta</t>
  </si>
  <si>
    <t>Utilidad Neta por Acción</t>
  </si>
  <si>
    <t>La Sociedad calcula la utilidad neta por acción sobre la base de la utilidad  del año y el total de acciones ordinarias integradas con valor nominal de G. 100.000 cada una.Las acciones ordinarias nominativas clase A tienen derecho a 5 votos, las acciones ordinarias  nominativas clase B tienen derecho a 4 votos, en tanto que las acciones preferidas nominativas clase C tienen derecho a Rest. de 1 voto.</t>
  </si>
  <si>
    <t>NOTA 36 - ACTIVOS GRAVADOS</t>
  </si>
  <si>
    <t>Los siguientes bienes de propiedad de la Sociedad han sido hipotecados y prendados en garantía de obligaciones financieras.</t>
  </si>
  <si>
    <t>Tipo de Activo</t>
  </si>
  <si>
    <t>Datos  del activo gravado</t>
  </si>
  <si>
    <t>Tipo de garantía</t>
  </si>
  <si>
    <t>Importe (indicar   moneda)</t>
  </si>
  <si>
    <t>A favor de</t>
  </si>
  <si>
    <t xml:space="preserve">NOTA 37 - CONTINGENCIAS Y COMPROMISOS </t>
  </si>
  <si>
    <t xml:space="preserve">(Esta nota debería incluir un breve detalle de contratos con terceros, vigente a la fecha de cierre del ejercicio, cuyo incumplimiento o cláusula específica podrían generar obligaciones contingentes para el cliente). </t>
  </si>
  <si>
    <t>a) ----------------------------------------------</t>
  </si>
  <si>
    <t>b) --------------------------------------------</t>
  </si>
  <si>
    <t xml:space="preserve">Obs.: Esta información debe estar ajustada  a lo requerido por la Norma de Información Financiera N° 5 Contingencias y sucesos que ocurren después de la fecha del balance. </t>
  </si>
  <si>
    <t>Índice</t>
  </si>
  <si>
    <t>NOTA 38 - IMPUESTO DIFERIDO</t>
  </si>
  <si>
    <t xml:space="preserve">Al … de …........... (año) la Sociedad constituyó una provisión para impuesto a la renta de Guaraníes  …... (Al … de …...............(año):  Guaraníes  …....) / (La Sociedad no ha constituido provisión para impuesto a la renta, debido a que a esa fecha la misma generó renta imponible que fue compensada con quebrantos impositivos acumulados a esa fecha). </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</si>
  <si>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</si>
  <si>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</si>
  <si>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</si>
  <si>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</si>
  <si>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</si>
  <si>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</si>
  <si>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</si>
  <si>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</si>
  <si>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</si>
  <si>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</si>
  <si>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</si>
  <si>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</si>
  <si>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</si>
  <si>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</si>
  <si>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NOTA 40 - SALDOS Y TRANSACCIONES CON PARTES RELACIONADAS</t>
  </si>
  <si>
    <t>Personas con derecho a voto que controlen al menos 10% del capital</t>
  </si>
  <si>
    <t>Nicolás V. González R.</t>
  </si>
  <si>
    <t>Mauro E. González R.</t>
  </si>
  <si>
    <t>Montserrat González de Caballero</t>
  </si>
  <si>
    <t>Beatriz González de Bosio</t>
  </si>
  <si>
    <t>Gisela González de Fúster</t>
  </si>
  <si>
    <t>Directores, administradores, síndicos, auditores Internos y apoderados</t>
  </si>
  <si>
    <t>Presidente: Nicolás V. González R.</t>
  </si>
  <si>
    <t>Vicepresidente: Mauro E. González R.</t>
  </si>
  <si>
    <t>Director Titular: Montserrat González de Caballero</t>
  </si>
  <si>
    <t>Director Titular: Gisela González de Fúster</t>
  </si>
  <si>
    <t>Director Titular: Juan Jose Bosio</t>
  </si>
  <si>
    <t>Director Titular: Nino Cricco</t>
  </si>
  <si>
    <t>Director Titular: Domingo Daher</t>
  </si>
  <si>
    <t>Síndico Titular: Óscar Benítez Codas</t>
  </si>
  <si>
    <t>Auditora Interna: Ana Cristaldo</t>
  </si>
  <si>
    <t xml:space="preserve">Cónyuges y parientes hasta el segundo grado de consaguinidad o afinidad  de  </t>
  </si>
  <si>
    <t xml:space="preserve">las personas de los incisos anteriores, con participación en el capital de la </t>
  </si>
  <si>
    <t>sociedad</t>
  </si>
  <si>
    <t>Nicolas E. González Z.</t>
  </si>
  <si>
    <t>Jose A. González Z.</t>
  </si>
  <si>
    <t>Esteban J. González K.</t>
  </si>
  <si>
    <t>Violeta M. González K.</t>
  </si>
  <si>
    <t>Bruno A. González K.</t>
  </si>
  <si>
    <t>Juan Jose Bosio G.</t>
  </si>
  <si>
    <t>Irmina E. Quintana</t>
  </si>
  <si>
    <t>Raquel Sofia Aguilar Zapag</t>
  </si>
  <si>
    <t>Mauro Antonio González K.</t>
  </si>
  <si>
    <t>Activo</t>
  </si>
  <si>
    <t>Cuentas a Cobrar</t>
  </si>
  <si>
    <t xml:space="preserve">Todo Franquicia S.A adeuda a NGO, al 30/09/2022, por compras de mercaderias </t>
  </si>
  <si>
    <t>Confort para el Hogar adeuda NGO, al 30/09/2022 por  compras de mercaderias</t>
  </si>
  <si>
    <t>y préstamos  la suma de G.</t>
  </si>
  <si>
    <t>Estirpe Guaraní S.A adeuda a NGO, al 30/09/2022 por  compras de merecaderías</t>
  </si>
  <si>
    <t xml:space="preserve">la suma de G. </t>
  </si>
  <si>
    <t>Monday S.A Inmobiliaria adeuda a NGO, al 30/09/2022 por compras de mercade-</t>
  </si>
  <si>
    <t xml:space="preserve">rías la suma de G. </t>
  </si>
  <si>
    <t xml:space="preserve">Agropecuaria cuatro vientos adeuda a NGO al 30/09/2022 por compras de </t>
  </si>
  <si>
    <t xml:space="preserve">mercaderías, repuestos  y servicio técnico, la suma de G. </t>
  </si>
  <si>
    <t>M. Montserrat González</t>
  </si>
  <si>
    <t xml:space="preserve">* Productos </t>
  </si>
  <si>
    <r>
      <rPr>
        <u/>
        <sz val="9"/>
        <color theme="1"/>
        <rFont val="Arial"/>
        <family val="2"/>
      </rPr>
      <t>Mauro Esteban González</t>
    </r>
    <r>
      <rPr>
        <sz val="9"/>
        <color theme="1"/>
        <rFont val="Arial"/>
        <family val="2"/>
      </rPr>
      <t xml:space="preserve"> </t>
    </r>
  </si>
  <si>
    <r>
      <rPr>
        <u/>
        <sz val="9"/>
        <color theme="1"/>
        <rFont val="Arial"/>
        <family val="2"/>
      </rPr>
      <t>Sara Comercial Villamorra S.A</t>
    </r>
    <r>
      <rPr>
        <sz val="9"/>
        <color theme="1"/>
        <rFont val="Arial"/>
        <family val="2"/>
      </rPr>
      <t xml:space="preserve"> </t>
    </r>
  </si>
  <si>
    <t>Nicolas V. González</t>
  </si>
  <si>
    <t xml:space="preserve">Beatriz Eugenia González de Bosio </t>
  </si>
  <si>
    <t xml:space="preserve">* Producto </t>
  </si>
  <si>
    <t>Juan José Bosio González</t>
  </si>
  <si>
    <t xml:space="preserve">*Producto </t>
  </si>
  <si>
    <t xml:space="preserve">Ana Mariela Cristaldo </t>
  </si>
  <si>
    <t xml:space="preserve">Inversiones Mobiliarias Permanentes </t>
  </si>
  <si>
    <t xml:space="preserve">NGO SAECA, es socio Fundador de la sociedad TODO FRANQUICIA S.A., </t>
  </si>
  <si>
    <t xml:space="preserve">el capital social de la firma, por asamblea extraordinaria en abril 2011, </t>
  </si>
  <si>
    <t xml:space="preserve">aumentó a la suma de cincuenta millones de guaranies. La particpación </t>
  </si>
  <si>
    <t xml:space="preserve">de NGO SAECA es (99, 87 %), en dicha sociedad. </t>
  </si>
  <si>
    <t>La integracón a la fecha asciende a Gs. 27.477.000.000</t>
  </si>
  <si>
    <t>NGO SAECA, es socio fundador de la sociedad CONFORT PARA EL HOGAR</t>
  </si>
  <si>
    <r>
      <rPr>
        <b/>
        <sz val="9"/>
        <color theme="1"/>
        <rFont val="Arial"/>
        <family val="2"/>
      </rPr>
      <t>CPH S.A</t>
    </r>
    <r>
      <rPr>
        <sz val="9"/>
        <color theme="1"/>
        <rFont val="Arial"/>
        <family val="2"/>
      </rPr>
      <t xml:space="preserve">, el capital social de la firma según escritura de constitución de </t>
    </r>
  </si>
  <si>
    <t>fecha 4 de marzo de 2014 es de cincuenta millomes de guaraníes. La</t>
  </si>
  <si>
    <t xml:space="preserve">participación de NGO SAECA (99, 97%) en dicha sociedad, es cuarenta y </t>
  </si>
  <si>
    <t>nueve mil quinientos millones de guaraníes G. 49.500.000.000.-</t>
  </si>
  <si>
    <t>La integración actual asciende a Gs. 45.006.000.000</t>
  </si>
  <si>
    <r>
      <t xml:space="preserve">NGO SAECA, es socio fundador de la sociedad BEST CREDIT S.A., </t>
    </r>
    <r>
      <rPr>
        <sz val="9"/>
        <color theme="1"/>
        <rFont val="Arial"/>
        <family val="2"/>
      </rPr>
      <t>el capital</t>
    </r>
  </si>
  <si>
    <t>social de la asciende a la suma de Seiscientos mil millones de guaraníes.</t>
  </si>
  <si>
    <t>La participación de NGO SAECA  es (97,00%) en dicha sociedad. La integracion</t>
  </si>
  <si>
    <t>actual asciende a 291.000.000 de G.</t>
  </si>
  <si>
    <r>
      <t xml:space="preserve">NGO SAECA, es socio fundador de la sociedad BEST Home S.A., </t>
    </r>
    <r>
      <rPr>
        <sz val="9"/>
        <color theme="1"/>
        <rFont val="Arial"/>
        <family val="2"/>
      </rPr>
      <t>el capital</t>
    </r>
  </si>
  <si>
    <t>social de la asciende a la suma de Cincuenta mil millones de guaraníes.</t>
  </si>
  <si>
    <t>La participación de NGO SAECA es (99,51%) en dicha sociedad. La integracion</t>
  </si>
  <si>
    <t>actual asciende a 2.020.000.000 de G.</t>
  </si>
  <si>
    <t>Ingresos</t>
  </si>
  <si>
    <t>Ingresos por alquiler de inmuebles de inversion a Todo Franquicia S.A.</t>
  </si>
  <si>
    <t xml:space="preserve">Ingresos por alquiler de uno de sus inmuebles de inversion a la empresa </t>
  </si>
  <si>
    <t xml:space="preserve">Ingresos por ventas de productos,  servicios e intereses </t>
  </si>
  <si>
    <t>Gisela González de Bosio</t>
  </si>
  <si>
    <t>Beatriz Eugenia González de Bosio</t>
  </si>
  <si>
    <t>Ana Mariela Cristaldo</t>
  </si>
  <si>
    <t>Cidecom SRL</t>
  </si>
  <si>
    <t>Estirpe Guarani SRL</t>
  </si>
  <si>
    <t>Todo Franquicia S.A.</t>
  </si>
  <si>
    <t>Monday SA Inmobiliaria</t>
  </si>
  <si>
    <t>Agropecuaria Cuatro Vientos S.A.</t>
  </si>
  <si>
    <t>Sara Comercial Villa Morra S.A.</t>
  </si>
  <si>
    <t>Confort para le Hogar S.A.</t>
  </si>
  <si>
    <t xml:space="preserve">Ingresos por servicios e intereses s/ préstamos  </t>
  </si>
  <si>
    <t xml:space="preserve">Ingresos de intereses por refinanciaciones  </t>
  </si>
  <si>
    <t>Egresos</t>
  </si>
  <si>
    <t>Gastos de publicidad Todo Franquicia</t>
  </si>
  <si>
    <t>Gastos de publicidad  Sara comercial Villamorra S.A</t>
  </si>
  <si>
    <t>Guaraní</t>
  </si>
  <si>
    <t>Dólar estadounidense</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</si>
  <si>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</si>
  <si>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</si>
  <si>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</si>
  <si>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</si>
  <si>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</si>
  <si>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</si>
  <si>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</si>
  <si>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</si>
  <si>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</si>
  <si>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</si>
  <si>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</si>
  <si>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</si>
  <si>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</si>
  <si>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</si>
  <si>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</si>
  <si>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</si>
  <si>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</si>
  <si>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</si>
  <si>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</si>
  <si>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</si>
  <si>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</si>
  <si>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</si>
  <si>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</si>
  <si>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</si>
  <si>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</si>
  <si>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</si>
  <si>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</si>
  <si>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</si>
  <si>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</si>
  <si>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</si>
  <si>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</si>
  <si>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</si>
  <si>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</si>
  <si>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</si>
  <si>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</si>
  <si>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</si>
  <si>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</si>
  <si>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</si>
  <si>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</si>
  <si>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</si>
  <si>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</si>
  <si>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</si>
  <si>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</si>
  <si>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</si>
  <si>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</si>
  <si>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</si>
  <si>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</si>
  <si>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</si>
  <si>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</si>
  <si>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</si>
  <si>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</si>
  <si>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</si>
  <si>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</si>
  <si>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</si>
  <si>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</si>
  <si>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</si>
  <si>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</si>
  <si>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</si>
  <si>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</si>
  <si>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</si>
  <si>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</si>
  <si>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</si>
  <si>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</si>
  <si>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</si>
  <si>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</si>
  <si>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</si>
  <si>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</si>
  <si>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</si>
  <si>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</si>
  <si>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</si>
  <si>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</si>
  <si>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</si>
  <si>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</si>
  <si>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</si>
  <si>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</si>
  <si>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</si>
  <si>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</si>
  <si>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</si>
  <si>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</si>
  <si>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</si>
  <si>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</si>
  <si>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</si>
  <si>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</si>
  <si>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</si>
  <si>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</si>
  <si>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</si>
  <si>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</si>
  <si>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</si>
  <si>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</si>
  <si>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</si>
  <si>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</si>
  <si>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</si>
  <si>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</si>
  <si>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</si>
  <si>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</si>
  <si>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</si>
  <si>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</si>
  <si>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</si>
  <si>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</si>
  <si>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</si>
  <si>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</si>
  <si>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</si>
  <si>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</si>
  <si>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</si>
  <si>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</si>
  <si>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</si>
  <si>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</si>
  <si>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</si>
  <si>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</si>
  <si>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</si>
  <si>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</si>
  <si>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</si>
  <si>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</si>
  <si>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</si>
  <si>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</si>
  <si>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</si>
  <si>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</si>
  <si>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</si>
  <si>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</si>
  <si>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</si>
  <si>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</si>
  <si>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</si>
  <si>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</si>
  <si>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</si>
  <si>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</si>
  <si>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</si>
  <si>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</si>
  <si>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</si>
  <si>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</si>
  <si>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</si>
  <si>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</si>
  <si>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</si>
  <si>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</si>
  <si>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</si>
  <si>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</si>
  <si>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</si>
  <si>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</si>
  <si>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</si>
  <si>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</si>
  <si>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</si>
  <si>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</si>
  <si>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</si>
  <si>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</si>
  <si>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</si>
  <si>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</si>
  <si>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</si>
  <si>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</si>
  <si>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</si>
  <si>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</si>
  <si>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</si>
  <si>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</si>
  <si>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</si>
  <si>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</si>
  <si>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</si>
  <si>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</si>
  <si>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</si>
  <si>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</si>
  <si>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</si>
  <si>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</si>
  <si>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</si>
  <si>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</si>
  <si>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</si>
  <si>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</si>
  <si>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</si>
  <si>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</si>
  <si>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</si>
  <si>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</si>
  <si>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</si>
  <si>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</si>
  <si>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</si>
  <si>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</si>
  <si>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</si>
  <si>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</si>
  <si>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</si>
  <si>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</si>
  <si>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</si>
  <si>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</si>
  <si>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</si>
  <si>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</si>
  <si>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</si>
  <si>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</si>
  <si>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</si>
  <si>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</si>
  <si>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</si>
  <si>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</si>
  <si>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</si>
  <si>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</si>
  <si>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</si>
  <si>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</si>
  <si>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</si>
  <si>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</si>
  <si>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</si>
  <si>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</si>
  <si>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</si>
  <si>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</si>
  <si>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</si>
  <si>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</si>
  <si>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</si>
  <si>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</si>
  <si>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</si>
  <si>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</si>
  <si>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</si>
  <si>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</si>
  <si>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</si>
  <si>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</si>
  <si>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</si>
  <si>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</si>
  <si>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</si>
  <si>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</si>
  <si>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</si>
  <si>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</si>
  <si>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</si>
  <si>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</si>
  <si>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</si>
  <si>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</si>
  <si>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</si>
  <si>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</si>
  <si>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</si>
  <si>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</si>
  <si>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</si>
  <si>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</si>
  <si>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</si>
  <si>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</si>
  <si>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</si>
  <si>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</si>
  <si>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</si>
  <si>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</si>
  <si>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</si>
  <si>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</si>
  <si>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</si>
  <si>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</si>
  <si>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</si>
  <si>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</si>
  <si>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</si>
  <si>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</si>
  <si>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</si>
  <si>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</si>
  <si>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</si>
  <si>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</si>
  <si>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</si>
  <si>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</si>
  <si>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</si>
  <si>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</si>
  <si>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</si>
  <si>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</si>
  <si>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</si>
  <si>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</si>
  <si>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</si>
  <si>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</si>
  <si>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</si>
  <si>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</si>
  <si>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</si>
  <si>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</si>
  <si>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</si>
  <si>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</si>
  <si>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</si>
  <si>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</si>
  <si>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</si>
  <si>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</si>
  <si>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</si>
  <si>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</si>
  <si>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</si>
  <si>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</si>
  <si>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</si>
  <si>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</si>
  <si>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</si>
  <si>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</si>
  <si>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</si>
  <si>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</si>
  <si>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</si>
  <si>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</si>
  <si>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</si>
  <si>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</si>
  <si>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</si>
  <si>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</si>
  <si>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</si>
  <si>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</si>
  <si>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</si>
  <si>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</si>
  <si>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</si>
  <si>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</si>
  <si>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</si>
  <si>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</si>
  <si>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</si>
  <si>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</si>
  <si>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</si>
  <si>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</si>
  <si>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</si>
  <si>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</si>
  <si>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</si>
  <si>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</si>
  <si>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</si>
  <si>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</si>
  <si>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</si>
  <si>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</si>
  <si>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</si>
  <si>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</si>
  <si>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</si>
  <si>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</si>
  <si>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</si>
  <si>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</si>
  <si>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</si>
  <si>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</si>
  <si>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</si>
  <si>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</si>
  <si>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</si>
  <si>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</si>
  <si>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</si>
  <si>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</si>
  <si>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</si>
  <si>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</si>
  <si>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</si>
  <si>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</si>
  <si>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</si>
  <si>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</si>
  <si>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</si>
  <si>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</si>
  <si>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</si>
  <si>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</si>
  <si>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</si>
  <si>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</si>
  <si>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</si>
  <si>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</si>
  <si>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</si>
  <si>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</si>
  <si>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</si>
  <si>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</si>
  <si>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</si>
  <si>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</si>
  <si>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</si>
  <si>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</si>
  <si>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</si>
  <si>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</si>
  <si>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</si>
  <si>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</si>
  <si>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</si>
  <si>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</si>
  <si>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</si>
  <si>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</si>
  <si>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</si>
  <si>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</si>
  <si>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</si>
  <si>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</si>
  <si>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</si>
  <si>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</si>
  <si>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</si>
  <si>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</si>
  <si>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</si>
  <si>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</si>
  <si>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</si>
  <si>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</si>
  <si>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</si>
  <si>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</si>
  <si>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</si>
  <si>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Saldo al 30/09/2022</t>
  </si>
  <si>
    <t>Intereses a Vencer M.E</t>
  </si>
  <si>
    <t xml:space="preserve">Cuentas a cobrar </t>
  </si>
  <si>
    <t>Intereses a vencer ML-LP</t>
  </si>
  <si>
    <t>Intereses a Devengar  LP</t>
  </si>
  <si>
    <t xml:space="preserve">MEJORAS EN EDIFICIO DEPOSITO PARANA CAMBIO DE PISO Y TECHO, PROVISION E INSTALACION DE CANALETAS </t>
  </si>
  <si>
    <t xml:space="preserve">FINCA Nº 1640 PADRON Nº 2498 SUPERFICIE 5885MTRS2. DISTRITO LIMPIO </t>
  </si>
  <si>
    <t xml:space="preserve">EDIFICIO INMUEBLE ARTIGAS (EX ALARCON) </t>
  </si>
  <si>
    <t xml:space="preserve">INMUEBLE DISTRITO SAN JOAQUIN PADRON 4070 MATRICULA F08/3442, A0 HAS </t>
  </si>
  <si>
    <t xml:space="preserve">INMUEBLE DISTRITO CARMEN DEL PARANA LOTE 11 MATRICULA H06/2733/2734/2735/2736/2737 PADRON 4034 </t>
  </si>
  <si>
    <t>Programas de Informática en proceso</t>
  </si>
  <si>
    <t>Ajustes / Diferencias de Inventarios</t>
  </si>
  <si>
    <t xml:space="preserve">Alquileres Pagados por Adelantado </t>
  </si>
  <si>
    <t>Otros gastos pagados por adelantado</t>
  </si>
  <si>
    <t xml:space="preserve">OBRAS EN CURSO DE REALIZACION </t>
  </si>
  <si>
    <t>Resultado de ejercicos anteriores</t>
  </si>
  <si>
    <t>y alquileres la suma de G.</t>
  </si>
  <si>
    <t xml:space="preserve">Cidecom S.R.L adeuda a NGO, al 30/09/2022, por compras de mercaderias </t>
  </si>
  <si>
    <t xml:space="preserve"> la suma de G. </t>
  </si>
  <si>
    <t>Gastos de Riesgos y cobranzas Confort para el hogar S.A</t>
  </si>
  <si>
    <t>Los saldos de este rubro al 30 de septiembre 2022 y 31 de diciembre de 2021, están compuestos por fondos de libre disponibilidad en poder de la Sociedad y en Bancos de plaza, en las modalidades de cuentas corrientes y cajas de ahorros en guaraníes y en moneda extranjera.</t>
  </si>
  <si>
    <t xml:space="preserve">NOTA 10 – ACTIVOS DISPONIBLES PARA LA VENTA/ INVERSIONES </t>
  </si>
  <si>
    <t xml:space="preserve">Activos Disponibles para la Venta/ Inversiones </t>
  </si>
  <si>
    <r>
      <rPr>
        <b/>
        <sz val="9"/>
        <color rgb="FF000000"/>
        <rFont val="Arial"/>
        <family val="2"/>
      </rPr>
      <t>18°)</t>
    </r>
    <r>
      <rPr>
        <sz val="9"/>
        <color rgb="FF000000"/>
        <rFont val="Arial"/>
        <family val="2"/>
      </rPr>
      <t xml:space="preserve">  Escritura Nº 24 de fecha 5 de mayo  de 2022, fue protocolizada el Acta Nº 95 de fecha 8 de abril  de 2022 de Asamblea Extraordinaria, referente al  aumento del</t>
    </r>
    <r>
      <rPr>
        <b/>
        <sz val="9"/>
        <color rgb="FF000000"/>
        <rFont val="Arial"/>
        <family val="2"/>
      </rPr>
      <t xml:space="preserve"> </t>
    </r>
    <r>
      <rPr>
        <sz val="9"/>
        <color rgb="FF000000"/>
        <rFont val="Arial"/>
        <family val="2"/>
      </rPr>
      <t xml:space="preserve">capital social a la suma de Un Billón de de guaranies (G 1.000.000.000.000.), modificandose los articulos 5º y 33º del estatuto social, inscripta en  la direccion general de los registros publicos, seccion personas juridicasy comercio, matricula comercial Nº 5585 de fecha 15 julio de 2022;                      </t>
    </r>
  </si>
  <si>
    <t>Confort para el Hogar  S.A (CPH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</si>
</sst>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_ ;\-#,##0\ "/>
    <numFmt numFmtId="174" formatCode="d/mm/yyyy;@"/>
    <numFmt numFmtId="175" formatCode="_ [$€]\ * #,##0.00_ ;_ [$€]\ * \-#,##0.00_ ;_ [$€]\ * &quot;-&quot;??_ ;_ @_ "/>
    <numFmt numFmtId="176" formatCode="General_)"/>
    <numFmt numFmtId="177" formatCode="#,##0.0"/>
  </numFmts>
  <fonts count="109">
    <font>
      <sz val="11"/>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9"/>
      <color rgb="FFFF0000"/>
      <name val="Arial"/>
      <family val="2"/>
    </font>
    <font>
      <b/>
      <sz val="11"/>
      <name val="Arial"/>
      <family val="2"/>
    </font>
    <font>
      <b/>
      <sz val="10"/>
      <color theme="0"/>
      <name val="Arial"/>
      <family val="2"/>
    </font>
    <font>
      <b/>
      <sz val="11"/>
      <color theme="1"/>
      <name val="Calibri"/>
      <family val="2"/>
      <scheme val="minor"/>
    </font>
    <font>
      <sz val="9"/>
      <name val="Arial"/>
      <family val="2"/>
    </font>
    <font>
      <b/>
      <sz val="10"/>
      <color rgb="FF000000"/>
      <name val="Arial"/>
      <family val="2"/>
    </font>
    <font>
      <b/>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0"/>
      <color theme="1"/>
      <name val="Calibri"/>
      <family val="2"/>
      <scheme val="minor"/>
    </font>
    <font>
      <sz val="9"/>
      <color theme="1"/>
      <name val="Book Antiqua"/>
      <family val="1"/>
    </font>
    <font>
      <i/>
      <sz val="9"/>
      <color theme="1"/>
      <name val="Arial"/>
      <family val="2"/>
    </font>
    <font>
      <sz val="12"/>
      <color theme="1"/>
      <name val="Calibri"/>
      <family val="2"/>
      <scheme val="minor"/>
    </font>
    <font>
      <i/>
      <sz val="10"/>
      <color theme="1"/>
      <name val="Arial"/>
      <family val="2"/>
    </font>
    <font>
      <i/>
      <sz val="9"/>
      <color rgb="FF000000"/>
      <name val="Arial"/>
      <family val="2"/>
    </font>
    <font>
      <b/>
      <sz val="9"/>
      <color theme="0"/>
      <name val="Arial"/>
      <family val="2"/>
    </font>
    <font>
      <b/>
      <sz val="10"/>
      <color rgb="FFFFFFFF"/>
      <name val="Arial"/>
      <family val="2"/>
    </font>
    <font>
      <sz val="11"/>
      <color theme="1"/>
      <name val="Calibri"/>
      <family val="2"/>
    </font>
    <font>
      <sz val="11"/>
      <name val="Calibri"/>
      <family val="2"/>
    </font>
    <font>
      <b/>
      <sz val="11"/>
      <name val="Calibri"/>
      <family val="2"/>
    </font>
    <font>
      <sz val="11"/>
      <color theme="0"/>
      <name val="Calibri"/>
      <family val="2"/>
      <scheme val="minor"/>
    </font>
    <font>
      <sz val="10"/>
      <color theme="1"/>
      <name val="Book Antiqua"/>
      <family val="1"/>
    </font>
    <font>
      <u/>
      <sz val="9"/>
      <name val="Arial"/>
      <family val="2"/>
    </font>
    <font>
      <b/>
      <u/>
      <sz val="9"/>
      <name val="Arial"/>
      <family val="2"/>
    </font>
    <font>
      <u/>
      <sz val="9"/>
      <color theme="10"/>
      <name val="Calibri"/>
      <family val="2"/>
      <scheme val="minor"/>
    </font>
    <font>
      <b/>
      <sz val="9"/>
      <color theme="1"/>
      <name val="Calibri"/>
      <family val="2"/>
      <scheme val="minor"/>
    </font>
    <font>
      <u/>
      <sz val="9"/>
      <color theme="1"/>
      <name val="Arial"/>
      <family val="2"/>
    </font>
    <font>
      <sz val="9"/>
      <color theme="0"/>
      <name val="Arial"/>
      <family val="2"/>
    </font>
    <font>
      <b/>
      <sz val="9"/>
      <color rgb="FFFF0000"/>
      <name val="Arial"/>
      <family val="2"/>
    </font>
    <font>
      <b/>
      <sz val="9"/>
      <color theme="1"/>
      <name val="Arial"/>
      <family val="2"/>
    </font>
    <font>
      <u/>
      <sz val="9"/>
      <color theme="10"/>
      <name val="Arial"/>
      <family val="2"/>
    </font>
    <font>
      <sz val="9"/>
      <color indexed="8"/>
      <name val="Arial"/>
      <family val="2"/>
    </font>
    <font>
      <b/>
      <u val="singleAccounting"/>
      <sz val="9"/>
      <color theme="0"/>
      <name val="Arial"/>
      <family val="2"/>
    </font>
    <font>
      <b/>
      <u/>
      <sz val="9"/>
      <color theme="1"/>
      <name val="Arial"/>
      <family val="2"/>
    </font>
    <font>
      <sz val="9"/>
      <color theme="0"/>
      <name val="Arial Black"/>
      <family val="2"/>
    </font>
    <font>
      <b/>
      <sz val="9"/>
      <color rgb="FF000000"/>
      <name val="Arial"/>
      <family val="2"/>
    </font>
    <font>
      <b/>
      <u/>
      <sz val="9"/>
      <color rgb="FF000000"/>
      <name val="Arial"/>
      <family val="2"/>
    </font>
    <font>
      <i/>
      <sz val="11"/>
      <color theme="1"/>
      <name val="Calibri"/>
      <family val="2"/>
      <scheme val="minor"/>
    </font>
    <font>
      <i/>
      <sz val="9"/>
      <name val="Arial"/>
      <family val="2"/>
    </font>
    <font>
      <sz val="9"/>
      <color rgb="FF0000CC"/>
      <name val="Arial"/>
      <family val="2"/>
    </font>
    <font>
      <u/>
      <sz val="9"/>
      <color rgb="FF0000CC"/>
      <name val="Calibri"/>
      <family val="2"/>
      <scheme val="minor"/>
    </font>
    <font>
      <u/>
      <sz val="9"/>
      <color rgb="FF0000CC"/>
      <name val="Arial"/>
      <family val="2"/>
    </font>
    <font>
      <u/>
      <sz val="11"/>
      <color rgb="FF0000CC"/>
      <name val="Calibri"/>
      <family val="2"/>
      <scheme val="minor"/>
    </font>
    <font>
      <b/>
      <sz val="9"/>
      <color rgb="FF0000CC"/>
      <name val="Arial"/>
      <family val="2"/>
    </font>
    <font>
      <sz val="9"/>
      <color rgb="FF0000CC"/>
      <name val="Calibri"/>
      <family val="2"/>
      <scheme val="minor"/>
    </font>
    <font>
      <b/>
      <sz val="10"/>
      <color rgb="FF0000CC"/>
      <name val="Arial"/>
      <family val="2"/>
    </font>
    <font>
      <u/>
      <sz val="10"/>
      <color rgb="FF0000CC"/>
      <name val="Arial"/>
      <family val="2"/>
    </font>
    <font>
      <sz val="11"/>
      <name val="Arial"/>
      <family val="2"/>
    </font>
    <font>
      <sz val="12"/>
      <color theme="1"/>
      <name val="Arial"/>
      <family val="2"/>
    </font>
    <font>
      <sz val="12"/>
      <color theme="0"/>
      <name val="Arial"/>
      <family val="2"/>
    </font>
    <font>
      <b/>
      <sz val="18"/>
      <color rgb="FFFF0000"/>
      <name val="Arial"/>
      <family val="2"/>
    </font>
    <font>
      <b/>
      <sz val="11"/>
      <color theme="1"/>
      <name val="Arial"/>
      <family val="2"/>
    </font>
    <font>
      <u/>
      <sz val="11"/>
      <color theme="10"/>
      <name val="Arial"/>
      <family val="2"/>
    </font>
    <font>
      <sz val="12"/>
      <color theme="1"/>
      <name val="Times New Roman"/>
      <family val="1"/>
    </font>
    <font>
      <u/>
      <sz val="11"/>
      <color theme="1"/>
      <name val="Arial"/>
      <family val="2"/>
    </font>
    <font>
      <u/>
      <sz val="8"/>
      <color theme="1"/>
      <name val="Arial"/>
      <family val="2"/>
    </font>
    <font>
      <b/>
      <u/>
      <sz val="8"/>
      <color theme="1"/>
      <name val="Arial"/>
      <family val="2"/>
    </font>
    <font>
      <sz val="9"/>
      <color rgb="FF222222"/>
      <name val="Arial"/>
      <family val="2"/>
    </font>
    <font>
      <sz val="9"/>
      <color rgb="FFFF0000"/>
      <name val="Calibri"/>
      <family val="2"/>
      <scheme val="minor"/>
    </font>
    <font>
      <sz val="12"/>
      <name val="Courier"/>
      <family val="3"/>
    </font>
    <font>
      <u/>
      <sz val="7.5"/>
      <color indexed="12"/>
      <name val="Arial"/>
      <family val="2"/>
    </font>
    <font>
      <sz val="10"/>
      <name val="Verdana"/>
      <family val="2"/>
    </font>
    <font>
      <sz val="8"/>
      <name val="Verdana"/>
      <family val="2"/>
    </font>
    <font>
      <sz val="9"/>
      <color rgb="FF13213D"/>
      <name val="Arial"/>
      <family val="2"/>
    </font>
    <font>
      <b/>
      <sz val="10"/>
      <color rgb="FF13213D"/>
      <name val="Arial"/>
      <family val="2"/>
    </font>
    <font>
      <sz val="9"/>
      <name val="Book Antiqua"/>
      <family val="1"/>
    </font>
    <font>
      <sz val="9"/>
      <color theme="1"/>
      <name val="Times New Roman"/>
      <family val="1"/>
    </font>
    <font>
      <b/>
      <sz val="9"/>
      <color rgb="FF13213D"/>
      <name val="Arial"/>
      <family val="2"/>
    </font>
    <font>
      <sz val="9"/>
      <color rgb="FF13213D"/>
      <name val="Book Antiqua"/>
      <family val="1"/>
    </font>
    <font>
      <sz val="9"/>
      <color rgb="FF13213D"/>
      <name val="Times New Roman"/>
      <family val="1"/>
    </font>
    <font>
      <sz val="8"/>
      <name val="Calibri"/>
      <family val="2"/>
      <scheme val="minor"/>
    </font>
    <font>
      <b/>
      <sz val="10"/>
      <color theme="0"/>
      <name val="Calibri"/>
      <family val="2"/>
      <scheme val="minor"/>
    </font>
    <font>
      <u/>
      <sz val="10"/>
      <name val="Arial"/>
      <family val="2"/>
    </font>
    <font>
      <sz val="10"/>
      <color indexed="63"/>
      <name val="Arial"/>
      <family val="2"/>
    </font>
    <font>
      <b/>
      <sz val="9"/>
      <color indexed="81"/>
      <name val="Tahoma"/>
      <family val="2"/>
    </font>
    <font>
      <sz val="9"/>
      <color indexed="81"/>
      <name val="Tahoma"/>
      <family val="2"/>
    </font>
    <font>
      <sz val="10"/>
      <color theme="1"/>
      <name val="Times New Roman"/>
      <family val="1"/>
    </font>
    <font>
      <sz val="9"/>
      <color theme="1"/>
      <name val="Aril"/>
    </font>
    <font>
      <b/>
      <sz val="12"/>
      <color theme="1"/>
      <name val="Aril"/>
    </font>
    <font>
      <sz val="9"/>
      <name val="Arial"/>
      <family val="2"/>
      <charset val="1"/>
    </font>
    <font>
      <b/>
      <u/>
      <sz val="10"/>
      <color theme="1"/>
      <name val="Arial"/>
      <family val="2"/>
    </font>
    <font>
      <u/>
      <sz val="10"/>
      <color theme="1"/>
      <name val="Arial"/>
      <family val="2"/>
    </font>
    <font>
      <b/>
      <sz val="14"/>
      <name val="Arial"/>
      <family val="2"/>
    </font>
    <font>
      <sz val="8"/>
      <name val="Arial"/>
      <family val="2"/>
    </font>
    <font>
      <b/>
      <u/>
      <sz val="9"/>
      <color rgb="FF0000CC"/>
      <name val="Arial"/>
      <family val="2"/>
    </font>
    <font>
      <sz val="10"/>
      <color rgb="FF13213D"/>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rgb="FF0000CC"/>
        <bgColor indexed="64"/>
      </patternFill>
    </fill>
    <fill>
      <patternFill patternType="solid">
        <fgColor rgb="FF0000CC"/>
        <bgColor rgb="FF000000"/>
      </patternFill>
    </fill>
    <fill>
      <patternFill patternType="solid">
        <fgColor rgb="FFFFFF00"/>
        <bgColor indexed="64"/>
      </patternFill>
    </fill>
  </fills>
  <borders count="53">
    <border>
      <left/>
      <right/>
      <top/>
      <bottom/>
      <diagonal/>
    </border>
    <border>
      <left style="thin">
        <color indexed="64"/>
      </left>
      <right/>
      <top/>
      <bottom/>
      <diagonal/>
    </border>
    <border>
      <left/>
      <right/>
      <top/>
      <bottom style="double">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indexed="64"/>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auto="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thin">
        <color auto="1"/>
      </top>
      <bottom style="double">
        <color indexed="64"/>
      </bottom>
      <diagonal/>
    </border>
    <border>
      <left/>
      <right/>
      <top style="double">
        <color indexed="64"/>
      </top>
      <bottom/>
      <diagonal/>
    </border>
    <border>
      <left style="thin">
        <color indexed="64"/>
      </left>
      <right style="thin">
        <color indexed="64"/>
      </right>
      <top style="thin">
        <color indexed="8"/>
      </top>
      <bottom style="thin">
        <color indexed="8"/>
      </bottom>
      <diagonal/>
    </border>
  </borders>
  <cellStyleXfs count="151">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xf numFmtId="0" fontId="3" fillId="0" borderId="0"/>
    <xf numFmtId="166" fontId="7" fillId="0" borderId="0" applyFont="0" applyFill="0" applyBorder="0" applyAlignment="0" applyProtection="0"/>
    <xf numFmtId="0" fontId="6" fillId="0" borderId="0"/>
    <xf numFmtId="41" fontId="3" fillId="0" borderId="0" applyFont="0" applyFill="0" applyBorder="0" applyAlignment="0" applyProtection="0"/>
    <xf numFmtId="9" fontId="3" fillId="0" borderId="0" applyFont="0" applyFill="0" applyBorder="0" applyAlignment="0" applyProtection="0"/>
    <xf numFmtId="43" fontId="6" fillId="0" borderId="0" applyFont="0" applyFill="0" applyBorder="0" applyAlignment="0" applyProtection="0"/>
    <xf numFmtId="166" fontId="3" fillId="0" borderId="0" applyFont="0" applyFill="0" applyBorder="0" applyAlignment="0" applyProtection="0"/>
    <xf numFmtId="0" fontId="3" fillId="0" borderId="0"/>
    <xf numFmtId="0" fontId="1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applyFont="0" applyFill="0" applyBorder="0" applyAlignment="0" applyProtection="0"/>
    <xf numFmtId="0" fontId="6" fillId="0" borderId="0" applyNumberFormat="0" applyFill="0" applyBorder="0" applyAlignment="0" applyProtection="0"/>
    <xf numFmtId="0" fontId="3" fillId="0" borderId="0"/>
    <xf numFmtId="0" fontId="6" fillId="0" borderId="0"/>
    <xf numFmtId="166" fontId="6" fillId="0" borderId="0" applyFont="0" applyFill="0" applyBorder="0" applyAlignment="0" applyProtection="0"/>
    <xf numFmtId="165" fontId="3" fillId="0" borderId="0" applyFont="0" applyFill="0" applyBorder="0" applyAlignment="0" applyProtection="0"/>
    <xf numFmtId="0" fontId="26" fillId="0" borderId="0"/>
    <xf numFmtId="164" fontId="6" fillId="0" borderId="0" applyFont="0" applyFill="0" applyBorder="0" applyAlignment="0" applyProtection="0"/>
    <xf numFmtId="166" fontId="3" fillId="0" borderId="0" applyFont="0" applyFill="0" applyBorder="0" applyAlignment="0" applyProtection="0"/>
    <xf numFmtId="0" fontId="26" fillId="0" borderId="0"/>
    <xf numFmtId="0" fontId="6" fillId="0" borderId="0"/>
    <xf numFmtId="166" fontId="7"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0" fontId="5" fillId="0" borderId="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3" fillId="0" borderId="0"/>
    <xf numFmtId="0" fontId="3" fillId="0" borderId="0"/>
    <xf numFmtId="0" fontId="3" fillId="0" borderId="0"/>
    <xf numFmtId="0" fontId="3" fillId="0" borderId="0"/>
    <xf numFmtId="0" fontId="3" fillId="0" borderId="0"/>
    <xf numFmtId="0" fontId="3" fillId="0" borderId="0"/>
    <xf numFmtId="175" fontId="6" fillId="0" borderId="0"/>
    <xf numFmtId="43" fontId="82" fillId="0" borderId="0"/>
    <xf numFmtId="175" fontId="35" fillId="0" borderId="0"/>
    <xf numFmtId="41" fontId="35" fillId="0" borderId="0" applyFont="0" applyFill="0" applyBorder="0" applyAlignment="0" applyProtection="0"/>
    <xf numFmtId="176" fontId="6" fillId="0" borderId="0"/>
    <xf numFmtId="175" fontId="83" fillId="0" borderId="0" applyNumberFormat="0" applyFill="0" applyBorder="0" applyAlignment="0" applyProtection="0">
      <alignment vertical="top"/>
      <protection locked="0"/>
    </xf>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5" fontId="84" fillId="0" borderId="0"/>
    <xf numFmtId="9" fontId="85" fillId="0" borderId="0" applyFont="0" applyFill="0" applyBorder="0" applyAlignment="0" applyProtection="0"/>
    <xf numFmtId="41" fontId="8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9" fontId="3" fillId="0" borderId="0" applyFont="0" applyFill="0" applyBorder="0" applyAlignment="0" applyProtection="0"/>
  </cellStyleXfs>
  <cellXfs count="1016">
    <xf numFmtId="0" fontId="0" fillId="0" borderId="0" xfId="0"/>
    <xf numFmtId="0" fontId="5" fillId="0" borderId="0" xfId="0" applyFont="1"/>
    <xf numFmtId="0" fontId="10" fillId="2" borderId="0" xfId="0" applyFont="1" applyFill="1"/>
    <xf numFmtId="0" fontId="0" fillId="2" borderId="0" xfId="0" applyFill="1"/>
    <xf numFmtId="0" fontId="5" fillId="3" borderId="0" xfId="0" applyFont="1" applyFill="1"/>
    <xf numFmtId="0" fontId="4" fillId="0" borderId="0" xfId="0" applyFont="1" applyAlignment="1">
      <alignment horizontal="center"/>
    </xf>
    <xf numFmtId="0" fontId="10" fillId="0" borderId="0" xfId="0" applyFont="1"/>
    <xf numFmtId="0" fontId="5" fillId="0" borderId="0" xfId="0" applyFont="1" applyAlignment="1">
      <alignment horizontal="left"/>
    </xf>
    <xf numFmtId="0" fontId="21" fillId="0" borderId="0" xfId="0" applyFont="1"/>
    <xf numFmtId="0" fontId="0" fillId="7" borderId="0" xfId="0" applyFill="1"/>
    <xf numFmtId="0" fontId="28" fillId="7" borderId="0" xfId="0" applyFont="1" applyFill="1"/>
    <xf numFmtId="0" fontId="5" fillId="7" borderId="0" xfId="0" applyFont="1" applyFill="1" applyAlignment="1">
      <alignment vertical="justify" wrapText="1"/>
    </xf>
    <xf numFmtId="0" fontId="5" fillId="7" borderId="0" xfId="0" applyFont="1" applyFill="1" applyAlignment="1">
      <alignment horizontal="left" vertical="top" wrapText="1"/>
    </xf>
    <xf numFmtId="0" fontId="5" fillId="7" borderId="0" xfId="0" applyFont="1" applyFill="1" applyAlignment="1">
      <alignment vertical="top" wrapText="1"/>
    </xf>
    <xf numFmtId="0" fontId="4" fillId="7" borderId="0" xfId="0" applyFont="1" applyFill="1" applyAlignment="1">
      <alignment vertical="top" wrapText="1"/>
    </xf>
    <xf numFmtId="0" fontId="14" fillId="0" borderId="0" xfId="13"/>
    <xf numFmtId="0" fontId="14" fillId="7" borderId="0" xfId="13" applyFill="1"/>
    <xf numFmtId="0" fontId="20" fillId="2" borderId="0" xfId="0" applyFont="1" applyFill="1" applyAlignment="1">
      <alignment horizontal="left" vertical="center"/>
    </xf>
    <xf numFmtId="0" fontId="28" fillId="0" borderId="0" xfId="0" applyFont="1"/>
    <xf numFmtId="0" fontId="20" fillId="2" borderId="0" xfId="0" applyFont="1" applyFill="1" applyAlignment="1">
      <alignment vertical="center"/>
    </xf>
    <xf numFmtId="0" fontId="8" fillId="7" borderId="0" xfId="0" applyFont="1" applyFill="1"/>
    <xf numFmtId="169" fontId="8" fillId="7" borderId="0" xfId="86" applyNumberFormat="1" applyFont="1" applyFill="1" applyBorder="1"/>
    <xf numFmtId="9" fontId="8" fillId="7" borderId="0" xfId="9" applyFont="1" applyFill="1" applyBorder="1"/>
    <xf numFmtId="3" fontId="8" fillId="7" borderId="0" xfId="0" applyNumberFormat="1" applyFont="1" applyFill="1"/>
    <xf numFmtId="0" fontId="23" fillId="7" borderId="0" xfId="0" applyFont="1" applyFill="1"/>
    <xf numFmtId="0" fontId="22" fillId="7" borderId="1" xfId="77" applyFont="1" applyFill="1" applyBorder="1"/>
    <xf numFmtId="0" fontId="29" fillId="7" borderId="0" xfId="0" applyFont="1" applyFill="1"/>
    <xf numFmtId="0" fontId="29" fillId="0" borderId="0" xfId="0" applyFont="1"/>
    <xf numFmtId="0" fontId="29" fillId="7" borderId="7" xfId="0" applyFont="1" applyFill="1" applyBorder="1" applyAlignment="1">
      <alignment vertical="top" wrapText="1"/>
    </xf>
    <xf numFmtId="0" fontId="29" fillId="7" borderId="8" xfId="0" applyFont="1" applyFill="1" applyBorder="1" applyAlignment="1">
      <alignment vertical="top"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10" fillId="2" borderId="0" xfId="0" applyFont="1" applyFill="1" applyAlignment="1">
      <alignment horizontal="center" vertical="center"/>
    </xf>
    <xf numFmtId="0" fontId="22" fillId="0" borderId="16" xfId="0" applyFont="1" applyBorder="1" applyAlignment="1">
      <alignment vertical="center" wrapText="1"/>
    </xf>
    <xf numFmtId="0" fontId="22" fillId="0" borderId="17" xfId="0" applyFont="1" applyBorder="1" applyAlignment="1">
      <alignment vertical="center" wrapText="1"/>
    </xf>
    <xf numFmtId="0" fontId="9" fillId="0" borderId="19" xfId="0" applyFont="1" applyBorder="1" applyAlignment="1">
      <alignment vertical="center" wrapText="1"/>
    </xf>
    <xf numFmtId="0" fontId="20" fillId="0" borderId="0" xfId="0" applyFont="1" applyAlignment="1">
      <alignment vertical="center"/>
    </xf>
    <xf numFmtId="0" fontId="20" fillId="7" borderId="0" xfId="0" applyFont="1" applyFill="1" applyAlignment="1">
      <alignment vertical="center"/>
    </xf>
    <xf numFmtId="0" fontId="27" fillId="0" borderId="0" xfId="0" applyFont="1" applyAlignment="1">
      <alignment horizontal="center" vertical="center"/>
    </xf>
    <xf numFmtId="0" fontId="5" fillId="3" borderId="0" xfId="0" applyFont="1" applyFill="1" applyAlignment="1">
      <alignment horizontal="left"/>
    </xf>
    <xf numFmtId="0" fontId="15" fillId="0" borderId="0" xfId="13" quotePrefix="1" applyFont="1" applyBorder="1" applyAlignment="1">
      <alignment horizontal="left"/>
    </xf>
    <xf numFmtId="0" fontId="20" fillId="5" borderId="0" xfId="0" applyFont="1" applyFill="1"/>
    <xf numFmtId="0" fontId="20" fillId="0" borderId="0" xfId="0" applyFont="1"/>
    <xf numFmtId="0" fontId="35" fillId="7" borderId="0" xfId="0" applyFont="1" applyFill="1" applyAlignment="1">
      <alignment vertical="center" wrapText="1"/>
    </xf>
    <xf numFmtId="0" fontId="35" fillId="7" borderId="0" xfId="0" applyFont="1" applyFill="1" applyAlignment="1">
      <alignment vertical="center"/>
    </xf>
    <xf numFmtId="0" fontId="20" fillId="5" borderId="0" xfId="0" applyFont="1" applyFill="1" applyAlignment="1">
      <alignment vertical="center"/>
    </xf>
    <xf numFmtId="0" fontId="12" fillId="0" borderId="0" xfId="0" applyFont="1" applyAlignment="1">
      <alignment horizontal="center" vertical="center"/>
    </xf>
    <xf numFmtId="0" fontId="22" fillId="7" borderId="0" xfId="0" applyFont="1" applyFill="1" applyAlignment="1">
      <alignment vertical="center" wrapText="1"/>
    </xf>
    <xf numFmtId="0" fontId="22" fillId="7" borderId="0" xfId="0" applyFont="1" applyFill="1" applyAlignment="1">
      <alignment horizontal="center" vertical="center" wrapText="1"/>
    </xf>
    <xf numFmtId="9" fontId="25" fillId="7" borderId="0" xfId="9" applyFont="1" applyFill="1" applyBorder="1" applyAlignment="1"/>
    <xf numFmtId="0" fontId="28" fillId="7" borderId="0" xfId="0" applyFont="1" applyFill="1" applyAlignment="1">
      <alignment wrapText="1"/>
    </xf>
    <xf numFmtId="9" fontId="37" fillId="7" borderId="0" xfId="9" applyFont="1" applyFill="1" applyBorder="1" applyAlignment="1"/>
    <xf numFmtId="0" fontId="11" fillId="0" borderId="0" xfId="0" applyFont="1"/>
    <xf numFmtId="0" fontId="4" fillId="0" borderId="0" xfId="0" applyFont="1" applyAlignment="1">
      <alignment horizontal="right"/>
    </xf>
    <xf numFmtId="3" fontId="0" fillId="7" borderId="0" xfId="0" applyNumberFormat="1" applyFill="1"/>
    <xf numFmtId="3" fontId="5" fillId="0" borderId="0" xfId="0" applyNumberFormat="1" applyFont="1"/>
    <xf numFmtId="0" fontId="22" fillId="0" borderId="0" xfId="0" applyFont="1"/>
    <xf numFmtId="3" fontId="22" fillId="0" borderId="0" xfId="78" applyNumberFormat="1" applyFont="1" applyFill="1" applyBorder="1"/>
    <xf numFmtId="3" fontId="22" fillId="7" borderId="3" xfId="78" applyNumberFormat="1" applyFont="1" applyFill="1" applyBorder="1" applyAlignment="1">
      <alignment horizontal="right"/>
    </xf>
    <xf numFmtId="0" fontId="48" fillId="7"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right" vertical="center"/>
    </xf>
    <xf numFmtId="3" fontId="29" fillId="7" borderId="0" xfId="0" applyNumberFormat="1" applyFont="1" applyFill="1"/>
    <xf numFmtId="3" fontId="30" fillId="0" borderId="0" xfId="0" applyNumberFormat="1" applyFont="1" applyAlignment="1">
      <alignment horizontal="right" vertical="center"/>
    </xf>
    <xf numFmtId="0" fontId="47" fillId="2" borderId="0" xfId="13" applyFont="1" applyFill="1" applyAlignment="1">
      <alignment horizontal="center" vertical="center"/>
    </xf>
    <xf numFmtId="167" fontId="10" fillId="0" borderId="0" xfId="1" applyNumberFormat="1" applyFont="1" applyFill="1"/>
    <xf numFmtId="167" fontId="9" fillId="0" borderId="0" xfId="1" applyNumberFormat="1" applyFont="1" applyFill="1" applyBorder="1"/>
    <xf numFmtId="167" fontId="22" fillId="0" borderId="0" xfId="1" applyNumberFormat="1" applyFont="1" applyFill="1"/>
    <xf numFmtId="0" fontId="9" fillId="2" borderId="0" xfId="0" applyFont="1" applyFill="1" applyAlignment="1">
      <alignment horizontal="center" vertical="center"/>
    </xf>
    <xf numFmtId="167" fontId="10" fillId="0" borderId="0" xfId="1" applyNumberFormat="1" applyFont="1" applyFill="1" applyAlignment="1"/>
    <xf numFmtId="167" fontId="10" fillId="2" borderId="0" xfId="1" applyNumberFormat="1" applyFont="1" applyFill="1" applyAlignment="1">
      <alignment horizontal="center" vertical="center"/>
    </xf>
    <xf numFmtId="167" fontId="9" fillId="0" borderId="0" xfId="1" applyNumberFormat="1" applyFont="1" applyFill="1" applyAlignment="1"/>
    <xf numFmtId="167" fontId="9" fillId="0" borderId="0" xfId="1" applyNumberFormat="1" applyFont="1" applyFill="1" applyAlignment="1">
      <alignment horizontal="left"/>
    </xf>
    <xf numFmtId="167" fontId="9" fillId="0" borderId="0" xfId="1" applyNumberFormat="1" applyFont="1" applyFill="1" applyAlignment="1">
      <alignment horizontal="center" vertical="center"/>
    </xf>
    <xf numFmtId="0" fontId="9" fillId="0" borderId="0" xfId="0" applyFont="1"/>
    <xf numFmtId="167" fontId="9" fillId="0" borderId="0" xfId="1" applyNumberFormat="1" applyFont="1" applyFill="1"/>
    <xf numFmtId="43" fontId="10" fillId="0" borderId="0" xfId="1" applyFont="1" applyFill="1"/>
    <xf numFmtId="43" fontId="10" fillId="2" borderId="0" xfId="1" applyFont="1" applyFill="1" applyAlignment="1">
      <alignment horizontal="center" vertical="center"/>
    </xf>
    <xf numFmtId="0" fontId="9" fillId="2" borderId="0" xfId="0" applyFont="1" applyFill="1"/>
    <xf numFmtId="0" fontId="38" fillId="0" borderId="0" xfId="0" applyFont="1" applyAlignment="1">
      <alignment horizontal="left" vertical="center"/>
    </xf>
    <xf numFmtId="0" fontId="22" fillId="2" borderId="0" xfId="0" applyFont="1" applyFill="1" applyAlignment="1">
      <alignment horizontal="center" vertical="center"/>
    </xf>
    <xf numFmtId="0" fontId="47" fillId="0" borderId="0" xfId="13" applyFont="1"/>
    <xf numFmtId="0" fontId="25" fillId="0" borderId="0" xfId="0" applyFont="1" applyAlignment="1">
      <alignment vertical="center"/>
    </xf>
    <xf numFmtId="0" fontId="46" fillId="2" borderId="0" xfId="2" applyFont="1" applyFill="1" applyBorder="1" applyAlignment="1">
      <alignment horizontal="center"/>
    </xf>
    <xf numFmtId="0" fontId="22" fillId="2" borderId="0" xfId="4" applyFont="1" applyFill="1"/>
    <xf numFmtId="0" fontId="9" fillId="2" borderId="0" xfId="4" applyFont="1" applyFill="1"/>
    <xf numFmtId="0" fontId="10" fillId="7" borderId="0" xfId="0" applyFont="1" applyFill="1"/>
    <xf numFmtId="3" fontId="10" fillId="7" borderId="0" xfId="0" applyNumberFormat="1" applyFont="1" applyFill="1"/>
    <xf numFmtId="0" fontId="25" fillId="7" borderId="0" xfId="0" applyFont="1" applyFill="1" applyAlignment="1">
      <alignment vertical="center"/>
    </xf>
    <xf numFmtId="0" fontId="53" fillId="7" borderId="0" xfId="13" applyFont="1" applyFill="1"/>
    <xf numFmtId="3" fontId="10" fillId="0" borderId="0" xfId="0" applyNumberFormat="1" applyFont="1"/>
    <xf numFmtId="0" fontId="52" fillId="2" borderId="0" xfId="0" applyFont="1" applyFill="1"/>
    <xf numFmtId="0" fontId="22" fillId="7" borderId="0" xfId="0" applyFont="1" applyFill="1"/>
    <xf numFmtId="0" fontId="10" fillId="0" borderId="0" xfId="0" applyFont="1" applyAlignment="1">
      <alignment horizontal="justify" vertical="center"/>
    </xf>
    <xf numFmtId="0" fontId="52" fillId="0" borderId="0" xfId="0" applyFont="1" applyAlignment="1">
      <alignment vertical="center"/>
    </xf>
    <xf numFmtId="169" fontId="22" fillId="2" borderId="0" xfId="11" applyNumberFormat="1" applyFont="1" applyFill="1" applyAlignment="1">
      <alignment horizontal="right"/>
    </xf>
    <xf numFmtId="3" fontId="22" fillId="2" borderId="0" xfId="11" applyNumberFormat="1" applyFont="1" applyFill="1" applyAlignment="1">
      <alignment horizontal="right"/>
    </xf>
    <xf numFmtId="169" fontId="22" fillId="2" borderId="0" xfId="1" applyNumberFormat="1" applyFont="1" applyFill="1" applyAlignment="1">
      <alignment horizontal="right"/>
    </xf>
    <xf numFmtId="3" fontId="10" fillId="2" borderId="0" xfId="0" applyNumberFormat="1" applyFont="1" applyFill="1" applyAlignment="1">
      <alignment horizontal="right"/>
    </xf>
    <xf numFmtId="169" fontId="9" fillId="2" borderId="0" xfId="1" applyNumberFormat="1" applyFont="1" applyFill="1" applyBorder="1"/>
    <xf numFmtId="3" fontId="22" fillId="2" borderId="0" xfId="1" applyNumberFormat="1" applyFont="1" applyFill="1" applyAlignment="1">
      <alignment horizontal="right"/>
    </xf>
    <xf numFmtId="169" fontId="9" fillId="2" borderId="0" xfId="1" applyNumberFormat="1" applyFont="1" applyFill="1" applyBorder="1" applyAlignment="1">
      <alignment horizontal="right"/>
    </xf>
    <xf numFmtId="167" fontId="9" fillId="2" borderId="0" xfId="10" applyNumberFormat="1" applyFont="1" applyFill="1" applyBorder="1" applyAlignment="1">
      <alignment horizontal="right"/>
    </xf>
    <xf numFmtId="0" fontId="52" fillId="0" borderId="0" xfId="0" applyFont="1"/>
    <xf numFmtId="0" fontId="10" fillId="0" borderId="0" xfId="0" applyFont="1" applyAlignment="1">
      <alignment horizontal="right"/>
    </xf>
    <xf numFmtId="3" fontId="10" fillId="0" borderId="0" xfId="0" applyNumberFormat="1" applyFont="1" applyAlignment="1">
      <alignment horizontal="right"/>
    </xf>
    <xf numFmtId="3" fontId="9" fillId="2" borderId="0" xfId="1" applyNumberFormat="1" applyFont="1" applyFill="1" applyBorder="1" applyAlignment="1">
      <alignment horizontal="right"/>
    </xf>
    <xf numFmtId="3" fontId="9" fillId="2" borderId="2" xfId="1" applyNumberFormat="1" applyFont="1" applyFill="1" applyBorder="1" applyAlignment="1">
      <alignment horizontal="right"/>
    </xf>
    <xf numFmtId="169" fontId="22" fillId="2" borderId="0" xfId="1" applyNumberFormat="1" applyFont="1" applyFill="1" applyAlignment="1"/>
    <xf numFmtId="167" fontId="9" fillId="2" borderId="0" xfId="10" applyNumberFormat="1" applyFont="1" applyFill="1" applyBorder="1" applyAlignment="1"/>
    <xf numFmtId="0" fontId="56" fillId="7" borderId="0" xfId="0" applyFont="1" applyFill="1" applyAlignment="1">
      <alignment vertical="justify" wrapText="1"/>
    </xf>
    <xf numFmtId="0" fontId="10" fillId="7" borderId="0" xfId="0" applyFont="1" applyFill="1" applyAlignment="1">
      <alignment vertical="justify" wrapText="1"/>
    </xf>
    <xf numFmtId="0" fontId="10" fillId="7" borderId="0" xfId="0" applyFont="1" applyFill="1" applyAlignment="1">
      <alignment horizontal="left" vertical="top" wrapText="1"/>
    </xf>
    <xf numFmtId="0" fontId="52" fillId="7" borderId="0" xfId="0" applyFont="1" applyFill="1" applyAlignment="1">
      <alignment vertical="top" wrapText="1"/>
    </xf>
    <xf numFmtId="0" fontId="10" fillId="7" borderId="0" xfId="0" applyFont="1" applyFill="1" applyAlignment="1">
      <alignment vertical="top" wrapText="1"/>
    </xf>
    <xf numFmtId="3" fontId="22" fillId="0" borderId="0" xfId="0" applyNumberFormat="1" applyFont="1" applyAlignment="1">
      <alignment horizontal="right" vertical="center"/>
    </xf>
    <xf numFmtId="3" fontId="9" fillId="0" borderId="0" xfId="0" applyNumberFormat="1" applyFont="1" applyAlignment="1">
      <alignment horizontal="right" vertical="center"/>
    </xf>
    <xf numFmtId="3" fontId="52" fillId="7" borderId="0" xfId="0" applyNumberFormat="1" applyFont="1" applyFill="1" applyAlignment="1">
      <alignment horizontal="right"/>
    </xf>
    <xf numFmtId="0" fontId="52" fillId="7" borderId="0" xfId="0" applyFont="1" applyFill="1"/>
    <xf numFmtId="0" fontId="38" fillId="0" borderId="0" xfId="0" applyFont="1" applyAlignment="1">
      <alignment vertical="center"/>
    </xf>
    <xf numFmtId="0" fontId="56" fillId="7" borderId="0" xfId="0" applyFont="1" applyFill="1" applyAlignment="1">
      <alignment horizontal="left" vertical="center" wrapText="1"/>
    </xf>
    <xf numFmtId="0" fontId="56" fillId="7" borderId="0" xfId="0" applyFont="1" applyFill="1"/>
    <xf numFmtId="3" fontId="52" fillId="7" borderId="0" xfId="0" applyNumberFormat="1" applyFont="1" applyFill="1"/>
    <xf numFmtId="3" fontId="22" fillId="2" borderId="0" xfId="3" applyNumberFormat="1" applyFont="1" applyFill="1" applyAlignment="1">
      <alignment horizontal="right"/>
    </xf>
    <xf numFmtId="3" fontId="22" fillId="2" borderId="0" xfId="3" quotePrefix="1" applyNumberFormat="1" applyFont="1" applyFill="1" applyAlignment="1">
      <alignment horizontal="right"/>
    </xf>
    <xf numFmtId="3" fontId="22" fillId="2" borderId="0" xfId="1" applyNumberFormat="1" applyFont="1" applyFill="1" applyBorder="1" applyAlignment="1">
      <alignment horizontal="right"/>
    </xf>
    <xf numFmtId="3" fontId="9" fillId="2" borderId="0" xfId="3" applyNumberFormat="1" applyFont="1" applyFill="1" applyAlignment="1">
      <alignment horizontal="right"/>
    </xf>
    <xf numFmtId="3" fontId="9" fillId="2" borderId="2" xfId="3" applyNumberFormat="1" applyFont="1" applyFill="1" applyBorder="1" applyAlignment="1">
      <alignment horizontal="right"/>
    </xf>
    <xf numFmtId="0" fontId="9" fillId="2" borderId="0" xfId="3" applyFont="1" applyFill="1" applyAlignment="1">
      <alignment horizontal="center"/>
    </xf>
    <xf numFmtId="0" fontId="10" fillId="7" borderId="0" xfId="0" applyFont="1" applyFill="1" applyAlignment="1">
      <alignment horizontal="left" vertical="center"/>
    </xf>
    <xf numFmtId="0" fontId="52" fillId="7" borderId="0" xfId="0" applyFont="1" applyFill="1" applyAlignment="1">
      <alignment horizontal="left" vertical="center"/>
    </xf>
    <xf numFmtId="3" fontId="52" fillId="7" borderId="0" xfId="8" applyNumberFormat="1" applyFont="1" applyFill="1" applyBorder="1"/>
    <xf numFmtId="0" fontId="46" fillId="0" borderId="0" xfId="0" applyFont="1" applyAlignment="1">
      <alignment horizontal="left" vertical="center"/>
    </xf>
    <xf numFmtId="0" fontId="53" fillId="0" borderId="0" xfId="13" applyFont="1"/>
    <xf numFmtId="0" fontId="56" fillId="0" borderId="0" xfId="0" applyFont="1" applyAlignment="1">
      <alignment vertical="center"/>
    </xf>
    <xf numFmtId="3" fontId="52" fillId="0" borderId="0" xfId="0" applyNumberFormat="1" applyFont="1"/>
    <xf numFmtId="0" fontId="34" fillId="0" borderId="0" xfId="0" applyFont="1"/>
    <xf numFmtId="0" fontId="38" fillId="0" borderId="0" xfId="0" applyFont="1"/>
    <xf numFmtId="0" fontId="10" fillId="0" borderId="2" xfId="0" applyFont="1" applyBorder="1"/>
    <xf numFmtId="0" fontId="10" fillId="0" borderId="2" xfId="0" applyFont="1" applyBorder="1" applyAlignment="1">
      <alignment horizontal="center"/>
    </xf>
    <xf numFmtId="3" fontId="52" fillId="0" borderId="2" xfId="0" applyNumberFormat="1" applyFont="1" applyBorder="1"/>
    <xf numFmtId="0" fontId="10" fillId="2" borderId="0" xfId="0" applyFont="1" applyFill="1" applyAlignment="1">
      <alignment horizontal="left"/>
    </xf>
    <xf numFmtId="0" fontId="11" fillId="0" borderId="0" xfId="12" applyFont="1" applyAlignment="1">
      <alignment horizontal="left"/>
    </xf>
    <xf numFmtId="0" fontId="6" fillId="0" borderId="0" xfId="12" applyFont="1" applyAlignment="1">
      <alignment horizontal="left"/>
    </xf>
    <xf numFmtId="14" fontId="43" fillId="0" borderId="0" xfId="0" applyNumberFormat="1" applyFont="1" applyAlignment="1">
      <alignment horizontal="center" vertical="center"/>
    </xf>
    <xf numFmtId="14" fontId="43" fillId="0" borderId="0" xfId="0" applyNumberFormat="1" applyFont="1" applyAlignment="1">
      <alignment horizontal="right" vertical="center"/>
    </xf>
    <xf numFmtId="0" fontId="38" fillId="2" borderId="0" xfId="0" applyFont="1" applyFill="1" applyAlignment="1">
      <alignment horizontal="left" vertical="center"/>
    </xf>
    <xf numFmtId="0" fontId="44" fillId="0" borderId="0" xfId="0" applyFont="1"/>
    <xf numFmtId="3" fontId="44" fillId="0" borderId="0" xfId="0" applyNumberFormat="1" applyFont="1"/>
    <xf numFmtId="3" fontId="10" fillId="7" borderId="0" xfId="0" applyNumberFormat="1" applyFont="1" applyFill="1" applyAlignment="1">
      <alignment horizontal="right"/>
    </xf>
    <xf numFmtId="3" fontId="10" fillId="0" borderId="0" xfId="0" applyNumberFormat="1" applyFont="1" applyAlignment="1">
      <alignment horizontal="center"/>
    </xf>
    <xf numFmtId="3" fontId="10" fillId="0" borderId="0" xfId="1" applyNumberFormat="1" applyFont="1" applyFill="1" applyAlignment="1">
      <alignment horizontal="center"/>
    </xf>
    <xf numFmtId="0" fontId="9" fillId="0" borderId="0" xfId="0" applyFont="1" applyAlignment="1">
      <alignment wrapText="1"/>
    </xf>
    <xf numFmtId="167" fontId="10" fillId="0" borderId="0" xfId="1" applyNumberFormat="1" applyFont="1" applyFill="1" applyAlignment="1">
      <alignment horizontal="center"/>
    </xf>
    <xf numFmtId="167" fontId="9" fillId="2" borderId="0" xfId="1" applyNumberFormat="1" applyFont="1" applyFill="1" applyAlignment="1">
      <alignment horizontal="center" vertical="center"/>
    </xf>
    <xf numFmtId="3" fontId="9" fillId="0" borderId="0" xfId="1" applyNumberFormat="1" applyFont="1" applyFill="1" applyAlignment="1">
      <alignment horizontal="center"/>
    </xf>
    <xf numFmtId="0" fontId="10" fillId="0" borderId="0" xfId="0" applyFont="1" applyAlignment="1">
      <alignment horizontal="center"/>
    </xf>
    <xf numFmtId="3" fontId="9" fillId="0" borderId="0" xfId="0" applyNumberFormat="1" applyFont="1"/>
    <xf numFmtId="0" fontId="56" fillId="2" borderId="0" xfId="0" applyFont="1" applyFill="1"/>
    <xf numFmtId="0" fontId="56" fillId="0" borderId="0" xfId="0" applyFont="1"/>
    <xf numFmtId="0" fontId="10" fillId="2" borderId="0" xfId="0" quotePrefix="1" applyFont="1" applyFill="1"/>
    <xf numFmtId="14" fontId="38" fillId="0" borderId="0" xfId="0" applyNumberFormat="1" applyFont="1" applyAlignment="1">
      <alignment horizontal="right" vertical="center"/>
    </xf>
    <xf numFmtId="0" fontId="22" fillId="0" borderId="21" xfId="0" applyFont="1" applyBorder="1" applyAlignment="1">
      <alignment vertical="center" wrapText="1"/>
    </xf>
    <xf numFmtId="0" fontId="22" fillId="0" borderId="31" xfId="0" applyFont="1" applyBorder="1" applyAlignment="1">
      <alignment vertical="center" wrapText="1"/>
    </xf>
    <xf numFmtId="3" fontId="22" fillId="0" borderId="26" xfId="0" applyNumberFormat="1" applyFont="1" applyBorder="1" applyAlignment="1">
      <alignment vertical="center" wrapText="1"/>
    </xf>
    <xf numFmtId="3" fontId="22" fillId="0" borderId="18" xfId="0" applyNumberFormat="1" applyFont="1" applyBorder="1" applyAlignment="1">
      <alignment vertical="center" wrapText="1"/>
    </xf>
    <xf numFmtId="3" fontId="22" fillId="0" borderId="22" xfId="0" applyNumberFormat="1" applyFont="1" applyBorder="1" applyAlignment="1">
      <alignment vertical="center" wrapText="1"/>
    </xf>
    <xf numFmtId="3" fontId="25" fillId="7" borderId="0" xfId="0" applyNumberFormat="1" applyFont="1" applyFill="1"/>
    <xf numFmtId="9" fontId="25" fillId="7" borderId="0" xfId="9" applyFont="1" applyFill="1" applyBorder="1"/>
    <xf numFmtId="169" fontId="25" fillId="7" borderId="0" xfId="86" applyNumberFormat="1" applyFont="1" applyFill="1" applyBorder="1"/>
    <xf numFmtId="0" fontId="25" fillId="7" borderId="0" xfId="0" applyFont="1" applyFill="1"/>
    <xf numFmtId="0" fontId="58" fillId="7" borderId="0" xfId="0" applyFont="1" applyFill="1"/>
    <xf numFmtId="169" fontId="25" fillId="7" borderId="0" xfId="86" applyNumberFormat="1" applyFont="1" applyFill="1" applyBorder="1" applyAlignment="1">
      <alignment horizontal="center"/>
    </xf>
    <xf numFmtId="0" fontId="38" fillId="0" borderId="0" xfId="0" applyFont="1" applyAlignment="1">
      <alignment horizontal="left"/>
    </xf>
    <xf numFmtId="3" fontId="25" fillId="7" borderId="0" xfId="9" applyNumberFormat="1" applyFont="1" applyFill="1" applyBorder="1"/>
    <xf numFmtId="0" fontId="59" fillId="7" borderId="0" xfId="0" applyFont="1" applyFill="1"/>
    <xf numFmtId="3" fontId="23" fillId="7" borderId="0" xfId="8" applyNumberFormat="1" applyFont="1" applyFill="1" applyBorder="1" applyAlignment="1">
      <alignment horizontal="right"/>
    </xf>
    <xf numFmtId="3" fontId="8" fillId="7" borderId="0" xfId="8" applyNumberFormat="1" applyFont="1" applyFill="1" applyBorder="1" applyAlignment="1">
      <alignment horizontal="right"/>
    </xf>
    <xf numFmtId="0" fontId="21" fillId="2" borderId="0" xfId="0" applyFont="1" applyFill="1"/>
    <xf numFmtId="0" fontId="38" fillId="2" borderId="0" xfId="0" applyFont="1" applyFill="1" applyAlignment="1">
      <alignment horizontal="left"/>
    </xf>
    <xf numFmtId="3" fontId="25" fillId="7" borderId="0" xfId="86" applyNumberFormat="1" applyFont="1" applyFill="1" applyBorder="1"/>
    <xf numFmtId="3" fontId="25" fillId="7" borderId="0" xfId="0" applyNumberFormat="1" applyFont="1" applyFill="1" applyAlignment="1">
      <alignment horizontal="right"/>
    </xf>
    <xf numFmtId="3" fontId="25" fillId="7" borderId="0" xfId="9" applyNumberFormat="1" applyFont="1" applyFill="1" applyBorder="1" applyAlignment="1">
      <alignment horizontal="right"/>
    </xf>
    <xf numFmtId="9" fontId="58" fillId="7" borderId="0" xfId="9" applyFont="1" applyFill="1" applyBorder="1" applyAlignment="1"/>
    <xf numFmtId="3" fontId="58" fillId="7" borderId="0" xfId="9" applyNumberFormat="1" applyFont="1" applyFill="1" applyBorder="1" applyAlignment="1">
      <alignment horizontal="right"/>
    </xf>
    <xf numFmtId="3" fontId="58" fillId="7" borderId="0" xfId="0" applyNumberFormat="1" applyFont="1" applyFill="1" applyAlignment="1">
      <alignment horizontal="right"/>
    </xf>
    <xf numFmtId="0" fontId="38" fillId="5" borderId="0" xfId="0" applyFont="1" applyFill="1" applyAlignment="1">
      <alignment horizontal="left" vertical="center"/>
    </xf>
    <xf numFmtId="0" fontId="22" fillId="7" borderId="0" xfId="0" applyFont="1" applyFill="1" applyAlignment="1">
      <alignment horizontal="center"/>
    </xf>
    <xf numFmtId="0" fontId="10" fillId="7" borderId="0" xfId="0" applyFont="1" applyFill="1" applyAlignment="1">
      <alignment horizontal="left"/>
    </xf>
    <xf numFmtId="3" fontId="10" fillId="2" borderId="0" xfId="0" applyNumberFormat="1" applyFont="1" applyFill="1"/>
    <xf numFmtId="3" fontId="10" fillId="0" borderId="0" xfId="8" applyNumberFormat="1" applyFont="1" applyFill="1" applyAlignment="1">
      <alignment horizontal="right"/>
    </xf>
    <xf numFmtId="3" fontId="52" fillId="0" borderId="0" xfId="1" applyNumberFormat="1" applyFont="1" applyFill="1" applyAlignment="1">
      <alignment horizontal="right"/>
    </xf>
    <xf numFmtId="3" fontId="10" fillId="0" borderId="0" xfId="1" applyNumberFormat="1" applyFont="1" applyFill="1" applyAlignment="1">
      <alignment horizontal="right"/>
    </xf>
    <xf numFmtId="3" fontId="9" fillId="0" borderId="0" xfId="1" applyNumberFormat="1" applyFont="1" applyFill="1" applyBorder="1" applyAlignment="1">
      <alignment horizontal="right"/>
    </xf>
    <xf numFmtId="41" fontId="25" fillId="7" borderId="0" xfId="8" applyFont="1" applyFill="1" applyBorder="1" applyAlignment="1">
      <alignment horizontal="center"/>
    </xf>
    <xf numFmtId="0" fontId="44" fillId="0" borderId="0" xfId="0" applyFont="1" applyAlignment="1">
      <alignment horizontal="justify" vertical="center"/>
    </xf>
    <xf numFmtId="0" fontId="52" fillId="0" borderId="0" xfId="0" applyFont="1" applyAlignment="1">
      <alignment horizontal="justify" vertical="center"/>
    </xf>
    <xf numFmtId="3" fontId="0" fillId="2" borderId="0" xfId="0" applyNumberFormat="1" applyFill="1"/>
    <xf numFmtId="0" fontId="0" fillId="2" borderId="0" xfId="0" quotePrefix="1" applyFill="1"/>
    <xf numFmtId="0" fontId="56" fillId="0" borderId="0" xfId="0" applyFont="1" applyAlignment="1">
      <alignment horizontal="justify" vertical="center"/>
    </xf>
    <xf numFmtId="0" fontId="5" fillId="2" borderId="0" xfId="0" applyFont="1" applyFill="1"/>
    <xf numFmtId="0" fontId="4" fillId="2" borderId="0" xfId="0" applyFont="1" applyFill="1"/>
    <xf numFmtId="41" fontId="4" fillId="2" borderId="0" xfId="0" applyNumberFormat="1" applyFont="1" applyFill="1"/>
    <xf numFmtId="167" fontId="11" fillId="2" borderId="0" xfId="12" applyNumberFormat="1" applyFont="1" applyFill="1"/>
    <xf numFmtId="169" fontId="6" fillId="2" borderId="0" xfId="1" applyNumberFormat="1" applyFont="1" applyFill="1" applyBorder="1"/>
    <xf numFmtId="167" fontId="10" fillId="0" borderId="0" xfId="1" applyNumberFormat="1" applyFont="1"/>
    <xf numFmtId="167" fontId="10" fillId="0" borderId="0" xfId="0" applyNumberFormat="1" applyFont="1"/>
    <xf numFmtId="169" fontId="10" fillId="0" borderId="0" xfId="0" applyNumberFormat="1" applyFont="1"/>
    <xf numFmtId="167" fontId="18" fillId="0" borderId="0" xfId="1" applyNumberFormat="1" applyFont="1"/>
    <xf numFmtId="0" fontId="38" fillId="10" borderId="0" xfId="0" applyFont="1" applyFill="1"/>
    <xf numFmtId="0" fontId="50" fillId="10" borderId="0" xfId="0" applyFont="1" applyFill="1"/>
    <xf numFmtId="0" fontId="64" fillId="0" borderId="0" xfId="13" applyFont="1" applyFill="1"/>
    <xf numFmtId="174" fontId="38" fillId="10" borderId="0" xfId="0" applyNumberFormat="1" applyFont="1" applyFill="1" applyAlignment="1">
      <alignment horizontal="right" vertical="center"/>
    </xf>
    <xf numFmtId="0" fontId="38" fillId="10" borderId="0" xfId="0" applyFont="1" applyFill="1" applyAlignment="1">
      <alignment vertical="center"/>
    </xf>
    <xf numFmtId="0" fontId="63" fillId="0" borderId="0" xfId="13" applyFont="1"/>
    <xf numFmtId="0" fontId="52" fillId="2" borderId="0" xfId="0" applyFont="1" applyFill="1" applyAlignment="1">
      <alignment horizontal="left"/>
    </xf>
    <xf numFmtId="0" fontId="63" fillId="0" borderId="0" xfId="13" applyFont="1" applyFill="1" applyAlignment="1"/>
    <xf numFmtId="0" fontId="38" fillId="10" borderId="0" xfId="0" applyFont="1" applyFill="1" applyAlignment="1">
      <alignment horizontal="left" vertical="center"/>
    </xf>
    <xf numFmtId="0" fontId="65" fillId="0" borderId="0" xfId="13" applyFont="1"/>
    <xf numFmtId="0" fontId="64" fillId="7" borderId="0" xfId="13" applyFont="1" applyFill="1"/>
    <xf numFmtId="0" fontId="10" fillId="0" borderId="0" xfId="0" applyFont="1" applyAlignment="1">
      <alignment horizontal="left" vertical="top"/>
    </xf>
    <xf numFmtId="0" fontId="64" fillId="0" borderId="0" xfId="13" applyFont="1"/>
    <xf numFmtId="14" fontId="38" fillId="10" borderId="0" xfId="0" applyNumberFormat="1" applyFont="1" applyFill="1" applyAlignment="1">
      <alignment vertical="center"/>
    </xf>
    <xf numFmtId="0" fontId="38" fillId="10" borderId="0" xfId="0" applyFont="1" applyFill="1" applyAlignment="1">
      <alignment horizontal="right"/>
    </xf>
    <xf numFmtId="14" fontId="38" fillId="10" borderId="0" xfId="0" applyNumberFormat="1" applyFont="1" applyFill="1" applyAlignment="1">
      <alignment horizontal="right" vertical="center"/>
    </xf>
    <xf numFmtId="0" fontId="64" fillId="0" borderId="0" xfId="13" applyFont="1" applyAlignment="1">
      <alignment horizontal="left"/>
    </xf>
    <xf numFmtId="0" fontId="65" fillId="7" borderId="0" xfId="13" applyFont="1" applyFill="1"/>
    <xf numFmtId="0" fontId="20" fillId="10" borderId="0" xfId="0" applyFont="1" applyFill="1" applyAlignment="1">
      <alignment vertical="center"/>
    </xf>
    <xf numFmtId="0" fontId="6" fillId="2" borderId="0" xfId="0" applyFont="1" applyFill="1"/>
    <xf numFmtId="3" fontId="6" fillId="2" borderId="0" xfId="1" applyNumberFormat="1" applyFont="1" applyFill="1" applyBorder="1"/>
    <xf numFmtId="41" fontId="5" fillId="2" borderId="0" xfId="8" applyFont="1" applyFill="1" applyBorder="1"/>
    <xf numFmtId="0" fontId="36" fillId="2" borderId="0" xfId="0" applyFont="1" applyFill="1"/>
    <xf numFmtId="0" fontId="11" fillId="2" borderId="0" xfId="12" applyFont="1" applyFill="1"/>
    <xf numFmtId="0" fontId="52" fillId="7" borderId="0" xfId="0" applyFont="1" applyFill="1" applyAlignment="1">
      <alignment horizontal="left"/>
    </xf>
    <xf numFmtId="0" fontId="38" fillId="10" borderId="29" xfId="0" applyFont="1" applyFill="1" applyBorder="1" applyAlignment="1">
      <alignment vertical="center" wrapText="1"/>
    </xf>
    <xf numFmtId="0" fontId="38" fillId="10" borderId="23" xfId="0" applyFont="1" applyFill="1" applyBorder="1" applyAlignment="1">
      <alignment horizontal="center" vertical="center" wrapText="1"/>
    </xf>
    <xf numFmtId="0" fontId="10" fillId="7" borderId="0" xfId="0" applyFont="1" applyFill="1" applyAlignment="1">
      <alignment horizontal="center"/>
    </xf>
    <xf numFmtId="167" fontId="57" fillId="10" borderId="0" xfId="0" applyNumberFormat="1" applyFont="1" applyFill="1" applyAlignment="1">
      <alignment horizontal="center" vertical="center"/>
    </xf>
    <xf numFmtId="0" fontId="63" fillId="2" borderId="0" xfId="13" applyFont="1" applyFill="1" applyAlignment="1">
      <alignment horizontal="center" vertical="center"/>
    </xf>
    <xf numFmtId="0" fontId="63" fillId="0" borderId="0" xfId="13" applyFont="1" applyAlignment="1">
      <alignment horizontal="center"/>
    </xf>
    <xf numFmtId="0" fontId="66" fillId="2" borderId="0" xfId="0" applyFont="1" applyFill="1" applyAlignment="1">
      <alignment horizontal="center" vertical="center"/>
    </xf>
    <xf numFmtId="0" fontId="62" fillId="2" borderId="0" xfId="0" applyFont="1" applyFill="1" applyAlignment="1">
      <alignment horizontal="center" vertical="center"/>
    </xf>
    <xf numFmtId="0" fontId="67" fillId="0" borderId="0" xfId="0" applyFont="1"/>
    <xf numFmtId="0" fontId="64" fillId="2" borderId="0" xfId="13" applyFont="1" applyFill="1" applyAlignment="1">
      <alignment horizontal="center" vertical="center"/>
    </xf>
    <xf numFmtId="0" fontId="64" fillId="0" borderId="0" xfId="13" applyFont="1" applyAlignment="1">
      <alignment horizontal="center"/>
    </xf>
    <xf numFmtId="0" fontId="64" fillId="0" borderId="0" xfId="13" applyFont="1" applyFill="1" applyAlignment="1">
      <alignment horizontal="center"/>
    </xf>
    <xf numFmtId="167" fontId="62" fillId="2" borderId="0" xfId="0" applyNumberFormat="1" applyFont="1" applyFill="1" applyAlignment="1">
      <alignment horizontal="center" vertical="center"/>
    </xf>
    <xf numFmtId="0" fontId="10" fillId="10" borderId="0" xfId="0" applyFont="1" applyFill="1"/>
    <xf numFmtId="0" fontId="38" fillId="10" borderId="0" xfId="1" applyNumberFormat="1" applyFont="1" applyFill="1" applyAlignment="1">
      <alignment horizontal="center"/>
    </xf>
    <xf numFmtId="167" fontId="38" fillId="10" borderId="0" xfId="1" applyNumberFormat="1" applyFont="1" applyFill="1" applyBorder="1"/>
    <xf numFmtId="0" fontId="20" fillId="10" borderId="0" xfId="0" applyFont="1" applyFill="1"/>
    <xf numFmtId="0" fontId="4" fillId="0" borderId="0" xfId="0" applyFont="1"/>
    <xf numFmtId="14" fontId="4" fillId="0" borderId="0" xfId="0" applyNumberFormat="1" applyFont="1"/>
    <xf numFmtId="0" fontId="58" fillId="0" borderId="0" xfId="0" applyFont="1"/>
    <xf numFmtId="14" fontId="16" fillId="0" borderId="0" xfId="0" applyNumberFormat="1" applyFont="1"/>
    <xf numFmtId="0" fontId="6" fillId="0" borderId="0" xfId="0" applyFont="1"/>
    <xf numFmtId="0" fontId="6" fillId="0" borderId="0" xfId="0" applyFont="1" applyAlignment="1">
      <alignment horizontal="center"/>
    </xf>
    <xf numFmtId="167" fontId="6" fillId="0" borderId="0" xfId="1" applyNumberFormat="1" applyFont="1"/>
    <xf numFmtId="167" fontId="5" fillId="0" borderId="0" xfId="1" applyNumberFormat="1" applyFont="1"/>
    <xf numFmtId="0" fontId="10" fillId="0" borderId="0" xfId="0" applyFont="1" applyAlignment="1">
      <alignment vertical="top" wrapText="1"/>
    </xf>
    <xf numFmtId="0" fontId="73" fillId="0" borderId="0" xfId="0" applyFont="1"/>
    <xf numFmtId="0" fontId="10" fillId="7" borderId="0" xfId="0" applyFont="1" applyFill="1" applyAlignment="1">
      <alignment horizontal="right"/>
    </xf>
    <xf numFmtId="0" fontId="4" fillId="2" borderId="0" xfId="0" applyFont="1" applyFill="1" applyAlignment="1">
      <alignment horizontal="left" vertical="center"/>
    </xf>
    <xf numFmtId="14" fontId="38" fillId="0" borderId="0" xfId="0" applyNumberFormat="1" applyFont="1" applyAlignment="1">
      <alignment horizontal="right" vertical="center" wrapText="1"/>
    </xf>
    <xf numFmtId="0" fontId="52" fillId="7" borderId="0" xfId="0" applyFont="1" applyFill="1" applyAlignment="1">
      <alignment horizontal="center" vertical="center" wrapText="1"/>
    </xf>
    <xf numFmtId="3" fontId="52" fillId="0" borderId="0" xfId="0" applyNumberFormat="1" applyFont="1" applyAlignment="1">
      <alignment horizontal="right" vertical="center" wrapText="1"/>
    </xf>
    <xf numFmtId="3" fontId="10" fillId="0" borderId="0" xfId="0" applyNumberFormat="1" applyFont="1" applyAlignment="1">
      <alignment horizontal="right" vertical="center" wrapText="1"/>
    </xf>
    <xf numFmtId="0" fontId="13" fillId="7" borderId="0" xfId="0" applyFont="1" applyFill="1"/>
    <xf numFmtId="0" fontId="52" fillId="0" borderId="0" xfId="0" applyFont="1" applyAlignment="1">
      <alignment vertical="top" wrapText="1"/>
    </xf>
    <xf numFmtId="0" fontId="27" fillId="10" borderId="0" xfId="0" applyFont="1" applyFill="1"/>
    <xf numFmtId="0" fontId="52" fillId="0" borderId="0" xfId="0" applyFont="1" applyAlignment="1">
      <alignment horizontal="left" vertical="top" wrapText="1"/>
    </xf>
    <xf numFmtId="0" fontId="5" fillId="0" borderId="0" xfId="0" applyFont="1" applyAlignment="1">
      <alignment vertical="top" wrapText="1"/>
    </xf>
    <xf numFmtId="167" fontId="5" fillId="0" borderId="0" xfId="0" applyNumberFormat="1" applyFont="1"/>
    <xf numFmtId="0" fontId="16" fillId="0" borderId="0" xfId="0" applyFont="1"/>
    <xf numFmtId="167" fontId="16" fillId="0" borderId="0" xfId="1" applyNumberFormat="1" applyFont="1"/>
    <xf numFmtId="167" fontId="17" fillId="0" borderId="0" xfId="1" applyNumberFormat="1" applyFont="1"/>
    <xf numFmtId="172" fontId="5" fillId="0" borderId="0" xfId="0" applyNumberFormat="1" applyFont="1" applyAlignment="1">
      <alignment horizontal="right"/>
    </xf>
    <xf numFmtId="0" fontId="70" fillId="0" borderId="0" xfId="0" applyFont="1"/>
    <xf numFmtId="167" fontId="5" fillId="0" borderId="0" xfId="1" applyNumberFormat="1" applyFont="1" applyFill="1"/>
    <xf numFmtId="167" fontId="6" fillId="0" borderId="0" xfId="1" applyNumberFormat="1" applyFont="1" applyFill="1"/>
    <xf numFmtId="0" fontId="19" fillId="0" borderId="0" xfId="0" applyFont="1"/>
    <xf numFmtId="167" fontId="5" fillId="0" borderId="0" xfId="1" applyNumberFormat="1" applyFont="1" applyBorder="1"/>
    <xf numFmtId="167" fontId="5" fillId="0" borderId="0" xfId="1" applyNumberFormat="1" applyFont="1" applyBorder="1" applyAlignment="1">
      <alignment horizontal="center"/>
    </xf>
    <xf numFmtId="167" fontId="17" fillId="0" borderId="0" xfId="1" applyNumberFormat="1" applyFont="1" applyBorder="1"/>
    <xf numFmtId="0" fontId="13" fillId="0" borderId="0" xfId="0" applyFont="1" applyAlignment="1">
      <alignment horizontal="center"/>
    </xf>
    <xf numFmtId="0" fontId="11" fillId="2" borderId="0" xfId="0" applyFont="1" applyFill="1" applyAlignment="1">
      <alignment vertical="center"/>
    </xf>
    <xf numFmtId="9" fontId="25" fillId="7" borderId="0" xfId="9" applyFont="1" applyFill="1" applyBorder="1" applyAlignment="1">
      <alignment horizontal="right"/>
    </xf>
    <xf numFmtId="169" fontId="25" fillId="7" borderId="0" xfId="86" applyNumberFormat="1" applyFont="1" applyFill="1" applyBorder="1" applyAlignment="1">
      <alignment horizontal="right"/>
    </xf>
    <xf numFmtId="167" fontId="5" fillId="0" borderId="0" xfId="1" applyNumberFormat="1" applyFont="1" applyFill="1" applyBorder="1"/>
    <xf numFmtId="167" fontId="20" fillId="0" borderId="0" xfId="1" applyNumberFormat="1" applyFont="1" applyFill="1" applyBorder="1"/>
    <xf numFmtId="167" fontId="20" fillId="0" borderId="0" xfId="1" applyNumberFormat="1" applyFont="1" applyFill="1" applyBorder="1" applyAlignment="1">
      <alignment vertical="center"/>
    </xf>
    <xf numFmtId="167" fontId="6" fillId="0" borderId="0" xfId="1" applyNumberFormat="1" applyFont="1" applyFill="1" applyBorder="1"/>
    <xf numFmtId="167" fontId="17" fillId="0" borderId="0" xfId="1" applyNumberFormat="1" applyFont="1" applyFill="1"/>
    <xf numFmtId="167" fontId="65" fillId="0" borderId="0" xfId="13" applyNumberFormat="1" applyFont="1" applyAlignment="1">
      <alignment horizontal="center" vertical="center"/>
    </xf>
    <xf numFmtId="167" fontId="10" fillId="0" borderId="0" xfId="1" applyNumberFormat="1" applyFont="1" applyBorder="1"/>
    <xf numFmtId="167" fontId="50" fillId="0" borderId="0" xfId="1" applyNumberFormat="1" applyFont="1"/>
    <xf numFmtId="167" fontId="10" fillId="0" borderId="0" xfId="1" applyNumberFormat="1" applyFont="1" applyAlignment="1">
      <alignment horizontal="center"/>
    </xf>
    <xf numFmtId="167" fontId="10" fillId="0" borderId="0" xfId="1" applyNumberFormat="1" applyFont="1" applyBorder="1" applyAlignment="1">
      <alignment horizontal="center"/>
    </xf>
    <xf numFmtId="167" fontId="38" fillId="0" borderId="0" xfId="1" applyNumberFormat="1" applyFont="1" applyFill="1" applyAlignment="1">
      <alignment horizontal="center" vertical="center" wrapText="1"/>
    </xf>
    <xf numFmtId="167" fontId="38" fillId="0" borderId="0" xfId="1" applyNumberFormat="1" applyFont="1" applyFill="1" applyBorder="1"/>
    <xf numFmtId="0" fontId="10" fillId="0" borderId="0" xfId="0" applyFont="1" applyAlignment="1">
      <alignment wrapText="1"/>
    </xf>
    <xf numFmtId="0" fontId="22" fillId="0" borderId="0" xfId="0" applyFont="1" applyAlignment="1">
      <alignment vertical="center"/>
    </xf>
    <xf numFmtId="167" fontId="22" fillId="0" borderId="0" xfId="1" applyNumberFormat="1" applyFont="1" applyFill="1" applyBorder="1"/>
    <xf numFmtId="167" fontId="9" fillId="0" borderId="0" xfId="1" applyNumberFormat="1" applyFont="1" applyBorder="1"/>
    <xf numFmtId="167" fontId="38" fillId="0" borderId="0" xfId="1" applyNumberFormat="1" applyFont="1" applyFill="1" applyBorder="1" applyAlignment="1">
      <alignment vertical="center"/>
    </xf>
    <xf numFmtId="0" fontId="22" fillId="0" borderId="0" xfId="75" applyFont="1"/>
    <xf numFmtId="169" fontId="22" fillId="0" borderId="0" xfId="1" applyNumberFormat="1" applyFont="1"/>
    <xf numFmtId="167" fontId="22" fillId="0" borderId="0" xfId="1" applyNumberFormat="1" applyFont="1" applyBorder="1"/>
    <xf numFmtId="167" fontId="9" fillId="0" borderId="0" xfId="1" applyNumberFormat="1" applyFont="1"/>
    <xf numFmtId="167" fontId="22" fillId="0" borderId="0" xfId="1" applyNumberFormat="1" applyFont="1"/>
    <xf numFmtId="167" fontId="18" fillId="0" borderId="0" xfId="1" applyNumberFormat="1" applyFont="1" applyBorder="1"/>
    <xf numFmtId="167" fontId="18" fillId="0" borderId="0" xfId="1" applyNumberFormat="1" applyFont="1" applyFill="1"/>
    <xf numFmtId="167" fontId="38" fillId="0" borderId="0" xfId="1" applyNumberFormat="1" applyFont="1" applyFill="1" applyBorder="1" applyAlignment="1">
      <alignment horizontal="center" vertical="center" wrapText="1"/>
    </xf>
    <xf numFmtId="167" fontId="16" fillId="0" borderId="0" xfId="1" applyNumberFormat="1" applyFont="1" applyBorder="1"/>
    <xf numFmtId="167" fontId="38" fillId="10" borderId="0" xfId="1" applyNumberFormat="1" applyFont="1" applyFill="1" applyBorder="1" applyAlignment="1">
      <alignment vertical="center"/>
    </xf>
    <xf numFmtId="3" fontId="9" fillId="7" borderId="0" xfId="0" applyNumberFormat="1" applyFont="1" applyFill="1" applyAlignment="1">
      <alignment horizontal="center"/>
    </xf>
    <xf numFmtId="3" fontId="9" fillId="0" borderId="0" xfId="0" applyNumberFormat="1" applyFont="1" applyAlignment="1">
      <alignment horizontal="center"/>
    </xf>
    <xf numFmtId="0" fontId="70" fillId="7" borderId="0" xfId="0" applyFont="1" applyFill="1"/>
    <xf numFmtId="0" fontId="70" fillId="7" borderId="0" xfId="0" applyFont="1" applyFill="1" applyAlignment="1">
      <alignment vertical="center" wrapText="1"/>
    </xf>
    <xf numFmtId="0" fontId="22" fillId="2" borderId="0" xfId="0" applyFont="1" applyFill="1" applyAlignment="1">
      <alignment vertical="center" wrapText="1"/>
    </xf>
    <xf numFmtId="0" fontId="75" fillId="7" borderId="0" xfId="13" applyFont="1" applyFill="1"/>
    <xf numFmtId="0" fontId="71" fillId="0" borderId="0" xfId="0" applyFont="1" applyAlignment="1">
      <alignmen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22" fillId="7" borderId="5" xfId="0" applyFont="1" applyFill="1" applyBorder="1"/>
    <xf numFmtId="0" fontId="25" fillId="7" borderId="0" xfId="0" quotePrefix="1" applyFont="1" applyFill="1"/>
    <xf numFmtId="0" fontId="68" fillId="0" borderId="0" xfId="0" applyFont="1" applyAlignment="1">
      <alignment horizontal="center" vertical="center"/>
    </xf>
    <xf numFmtId="0" fontId="65" fillId="0" borderId="0" xfId="13" applyFont="1" applyBorder="1" applyAlignment="1">
      <alignment horizontal="center"/>
    </xf>
    <xf numFmtId="0" fontId="65" fillId="0" borderId="0" xfId="13" quotePrefix="1" applyFont="1" applyBorder="1" applyAlignment="1">
      <alignment horizontal="center"/>
    </xf>
    <xf numFmtId="0" fontId="69" fillId="0" borderId="0" xfId="13" quotePrefix="1" applyFont="1" applyBorder="1" applyAlignment="1">
      <alignment horizontal="center"/>
    </xf>
    <xf numFmtId="0" fontId="65" fillId="0" borderId="0" xfId="13" applyFont="1" applyBorder="1" applyAlignment="1">
      <alignment horizontal="center" vertical="center"/>
    </xf>
    <xf numFmtId="0" fontId="11" fillId="2" borderId="0" xfId="0" applyFont="1" applyFill="1" applyAlignment="1">
      <alignment horizontal="center" vertical="center"/>
    </xf>
    <xf numFmtId="3" fontId="22" fillId="2" borderId="0" xfId="11" applyNumberFormat="1" applyFont="1" applyFill="1" applyAlignment="1"/>
    <xf numFmtId="169" fontId="9" fillId="2" borderId="0" xfId="1" applyNumberFormat="1" applyFont="1" applyFill="1" applyBorder="1" applyAlignment="1"/>
    <xf numFmtId="169" fontId="9" fillId="2" borderId="2" xfId="1" applyNumberFormat="1" applyFont="1" applyFill="1" applyBorder="1" applyAlignment="1"/>
    <xf numFmtId="167" fontId="22" fillId="2" borderId="0" xfId="10" applyNumberFormat="1" applyFont="1" applyFill="1" applyAlignment="1">
      <alignment horizontal="right"/>
    </xf>
    <xf numFmtId="173" fontId="22" fillId="2" borderId="0" xfId="10" applyNumberFormat="1" applyFont="1" applyFill="1" applyAlignment="1">
      <alignment horizontal="right"/>
    </xf>
    <xf numFmtId="167" fontId="9" fillId="2" borderId="2" xfId="10" applyNumberFormat="1" applyFont="1" applyFill="1" applyBorder="1" applyAlignment="1">
      <alignment horizontal="right"/>
    </xf>
    <xf numFmtId="41" fontId="9" fillId="2" borderId="2" xfId="8" applyFont="1" applyFill="1" applyBorder="1" applyAlignment="1">
      <alignment horizontal="right"/>
    </xf>
    <xf numFmtId="41" fontId="9" fillId="2" borderId="0" xfId="8" applyFont="1" applyFill="1" applyBorder="1" applyAlignment="1">
      <alignment horizontal="right"/>
    </xf>
    <xf numFmtId="3" fontId="52" fillId="7" borderId="2" xfId="0" applyNumberFormat="1" applyFont="1" applyFill="1" applyBorder="1" applyAlignment="1">
      <alignment horizontal="right"/>
    </xf>
    <xf numFmtId="3" fontId="52" fillId="0" borderId="2" xfId="0" applyNumberFormat="1" applyFont="1" applyBorder="1" applyAlignment="1">
      <alignment horizontal="right"/>
    </xf>
    <xf numFmtId="3" fontId="44" fillId="0" borderId="0" xfId="0" applyNumberFormat="1" applyFont="1" applyAlignment="1">
      <alignment horizontal="right" vertical="center" wrapText="1"/>
    </xf>
    <xf numFmtId="0" fontId="8" fillId="7" borderId="0" xfId="0" applyFont="1" applyFill="1" applyAlignment="1">
      <alignment horizontal="right"/>
    </xf>
    <xf numFmtId="9" fontId="8" fillId="7" borderId="0" xfId="9" applyFont="1" applyFill="1" applyBorder="1" applyAlignment="1">
      <alignment horizontal="right"/>
    </xf>
    <xf numFmtId="0" fontId="9" fillId="7" borderId="0" xfId="0" applyFont="1" applyFill="1"/>
    <xf numFmtId="3" fontId="22" fillId="7" borderId="0" xfId="0" applyNumberFormat="1" applyFont="1" applyFill="1" applyAlignment="1">
      <alignment wrapText="1"/>
    </xf>
    <xf numFmtId="3" fontId="9" fillId="7" borderId="0" xfId="0" applyNumberFormat="1" applyFont="1" applyFill="1" applyAlignment="1">
      <alignment wrapText="1"/>
    </xf>
    <xf numFmtId="0" fontId="10" fillId="0" borderId="0" xfId="0" applyFont="1" applyAlignment="1">
      <alignment horizontal="center" vertical="center" wrapText="1"/>
    </xf>
    <xf numFmtId="0" fontId="52" fillId="0" borderId="0" xfId="0" applyFont="1" applyAlignment="1">
      <alignment vertical="center" wrapText="1"/>
    </xf>
    <xf numFmtId="3" fontId="10" fillId="0" borderId="0" xfId="0" applyNumberFormat="1" applyFont="1" applyAlignment="1">
      <alignment horizontal="center" vertical="center" wrapText="1"/>
    </xf>
    <xf numFmtId="3" fontId="49" fillId="0" borderId="0" xfId="0" applyNumberFormat="1" applyFont="1" applyAlignment="1">
      <alignment horizontal="center" vertical="center" wrapText="1"/>
    </xf>
    <xf numFmtId="3" fontId="56" fillId="0" borderId="0" xfId="0" applyNumberFormat="1" applyFont="1" applyAlignment="1">
      <alignment horizontal="center" vertical="center" wrapText="1"/>
    </xf>
    <xf numFmtId="0" fontId="10" fillId="0" borderId="0" xfId="0" applyFont="1" applyAlignment="1">
      <alignment vertical="center"/>
    </xf>
    <xf numFmtId="0" fontId="52" fillId="0" borderId="32" xfId="0" applyFont="1" applyBorder="1" applyAlignment="1">
      <alignment horizontal="center" vertical="center"/>
    </xf>
    <xf numFmtId="0" fontId="10" fillId="0" borderId="33" xfId="0" applyFont="1" applyBorder="1" applyAlignment="1">
      <alignment horizontal="center" vertical="center" wrapText="1"/>
    </xf>
    <xf numFmtId="0" fontId="10" fillId="0" borderId="33" xfId="0" applyFont="1" applyBorder="1" applyAlignment="1">
      <alignment vertical="center" wrapText="1"/>
    </xf>
    <xf numFmtId="0" fontId="76" fillId="0" borderId="33" xfId="0" applyFont="1" applyBorder="1" applyAlignment="1">
      <alignment vertical="center" wrapText="1"/>
    </xf>
    <xf numFmtId="0" fontId="13" fillId="0" borderId="33" xfId="0" applyFont="1" applyBorder="1" applyAlignment="1">
      <alignment horizontal="center" vertical="center" wrapText="1"/>
    </xf>
    <xf numFmtId="0" fontId="13" fillId="0" borderId="33" xfId="0" applyFont="1" applyBorder="1" applyAlignment="1">
      <alignment vertical="center" wrapText="1"/>
    </xf>
    <xf numFmtId="0" fontId="74" fillId="0" borderId="33" xfId="0" applyFont="1" applyBorder="1" applyAlignment="1">
      <alignment vertical="center" wrapText="1"/>
    </xf>
    <xf numFmtId="0" fontId="74" fillId="0" borderId="33" xfId="0" applyFont="1" applyBorder="1" applyAlignment="1">
      <alignment horizontal="center" vertical="center" wrapText="1"/>
    </xf>
    <xf numFmtId="0" fontId="13" fillId="0" borderId="34" xfId="0" applyFont="1" applyBorder="1" applyAlignment="1">
      <alignment vertical="center" wrapText="1"/>
    </xf>
    <xf numFmtId="0" fontId="10" fillId="0" borderId="0" xfId="0" applyFont="1" applyAlignment="1">
      <alignment horizontal="left"/>
    </xf>
    <xf numFmtId="0" fontId="10" fillId="0" borderId="0" xfId="0" applyFont="1" applyAlignment="1">
      <alignment horizontal="left" vertical="center"/>
    </xf>
    <xf numFmtId="3" fontId="9" fillId="0" borderId="20" xfId="0" applyNumberFormat="1" applyFont="1" applyBorder="1" applyAlignment="1">
      <alignment vertical="center" wrapText="1"/>
    </xf>
    <xf numFmtId="0" fontId="20" fillId="2" borderId="0" xfId="0" applyFont="1" applyFill="1" applyAlignment="1">
      <alignment vertical="center" wrapText="1"/>
    </xf>
    <xf numFmtId="0" fontId="38" fillId="0" borderId="0" xfId="0" applyFont="1" applyAlignment="1">
      <alignment vertical="center" wrapText="1"/>
    </xf>
    <xf numFmtId="0" fontId="52" fillId="0" borderId="0" xfId="0" applyFont="1" applyAlignment="1">
      <alignment horizontal="left" vertical="center"/>
    </xf>
    <xf numFmtId="0" fontId="38" fillId="10" borderId="0" xfId="0" applyFont="1" applyFill="1" applyAlignment="1">
      <alignment horizontal="center" vertical="center"/>
    </xf>
    <xf numFmtId="0" fontId="38" fillId="10" borderId="0" xfId="0" applyFont="1" applyFill="1" applyAlignment="1">
      <alignment horizontal="right" vertical="center"/>
    </xf>
    <xf numFmtId="0" fontId="80" fillId="0" borderId="0" xfId="0" applyFont="1" applyAlignment="1">
      <alignment horizontal="center"/>
    </xf>
    <xf numFmtId="0" fontId="81" fillId="7" borderId="0" xfId="0" applyFont="1" applyFill="1"/>
    <xf numFmtId="0" fontId="10" fillId="0" borderId="0" xfId="0" applyFont="1" applyAlignment="1">
      <alignment horizontal="left" vertical="justify" wrapText="1"/>
    </xf>
    <xf numFmtId="0" fontId="10" fillId="0" borderId="0" xfId="0" applyFont="1" applyAlignment="1">
      <alignment horizontal="justify" vertical="justify" wrapText="1"/>
    </xf>
    <xf numFmtId="0" fontId="9" fillId="0" borderId="0" xfId="0" applyFont="1" applyAlignment="1">
      <alignment horizontal="left" vertical="justify" wrapText="1"/>
    </xf>
    <xf numFmtId="0" fontId="22" fillId="0" borderId="0" xfId="0" applyFont="1" applyAlignment="1">
      <alignment horizontal="left" vertical="justify" wrapText="1"/>
    </xf>
    <xf numFmtId="0" fontId="52" fillId="0" borderId="0" xfId="0" applyFont="1" applyAlignment="1">
      <alignment horizontal="left"/>
    </xf>
    <xf numFmtId="0" fontId="33" fillId="0" borderId="0" xfId="0" applyFont="1" applyAlignment="1">
      <alignment horizontal="justify" vertical="center"/>
    </xf>
    <xf numFmtId="0" fontId="10" fillId="0" borderId="0" xfId="101" applyFont="1"/>
    <xf numFmtId="0" fontId="22" fillId="0" borderId="0" xfId="0" applyFont="1" applyAlignment="1">
      <alignment horizontal="left"/>
    </xf>
    <xf numFmtId="0" fontId="50" fillId="10" borderId="0" xfId="0" applyFont="1" applyFill="1" applyAlignment="1">
      <alignment horizontal="center" vertical="center"/>
    </xf>
    <xf numFmtId="14" fontId="38" fillId="10" borderId="0" xfId="1" applyNumberFormat="1" applyFont="1" applyFill="1" applyAlignment="1">
      <alignment horizontal="right"/>
    </xf>
    <xf numFmtId="0" fontId="14" fillId="0" borderId="0" xfId="13" applyFill="1" applyBorder="1"/>
    <xf numFmtId="0" fontId="9" fillId="0" borderId="0" xfId="2" applyFont="1" applyFill="1" applyBorder="1" applyAlignment="1">
      <alignment horizontal="left"/>
    </xf>
    <xf numFmtId="3" fontId="22" fillId="0" borderId="0" xfId="0" applyNumberFormat="1" applyFont="1" applyAlignment="1">
      <alignment horizontal="right"/>
    </xf>
    <xf numFmtId="0" fontId="52" fillId="2" borderId="39" xfId="0" applyFont="1" applyFill="1" applyBorder="1"/>
    <xf numFmtId="0" fontId="38" fillId="0" borderId="0" xfId="0" applyFont="1" applyAlignment="1">
      <alignment horizontal="right" vertical="center"/>
    </xf>
    <xf numFmtId="0" fontId="9" fillId="0" borderId="0" xfId="0" applyFont="1" applyAlignment="1">
      <alignment horizontal="left"/>
    </xf>
    <xf numFmtId="0" fontId="10" fillId="0" borderId="0" xfId="0" applyFont="1" applyAlignment="1">
      <alignment horizontal="left" vertical="top" wrapText="1"/>
    </xf>
    <xf numFmtId="0" fontId="10" fillId="2" borderId="0" xfId="0" applyFont="1" applyFill="1" applyAlignment="1">
      <alignment horizontal="center"/>
    </xf>
    <xf numFmtId="3" fontId="10" fillId="0" borderId="39" xfId="0" applyNumberFormat="1" applyFont="1" applyBorder="1" applyAlignment="1">
      <alignment horizontal="right" vertical="center" wrapText="1"/>
    </xf>
    <xf numFmtId="0" fontId="38" fillId="2" borderId="0" xfId="0" applyFont="1" applyFill="1" applyAlignment="1">
      <alignment horizontal="center" vertical="center"/>
    </xf>
    <xf numFmtId="0" fontId="46" fillId="0" borderId="0" xfId="0" applyFont="1"/>
    <xf numFmtId="0" fontId="49" fillId="0" borderId="0" xfId="0" applyFont="1"/>
    <xf numFmtId="0" fontId="50" fillId="0" borderId="0" xfId="0" applyFont="1"/>
    <xf numFmtId="0" fontId="9" fillId="2" borderId="39" xfId="2" applyFont="1" applyFill="1" applyBorder="1" applyAlignment="1">
      <alignment horizontal="left"/>
    </xf>
    <xf numFmtId="0" fontId="46" fillId="2" borderId="39" xfId="2" applyFont="1" applyFill="1" applyBorder="1" applyAlignment="1">
      <alignment horizontal="center"/>
    </xf>
    <xf numFmtId="0" fontId="2" fillId="0" borderId="0" xfId="0" applyFont="1"/>
    <xf numFmtId="0" fontId="10" fillId="2" borderId="40" xfId="0" applyFont="1" applyFill="1" applyBorder="1"/>
    <xf numFmtId="0" fontId="10" fillId="2" borderId="39" xfId="0" applyFont="1" applyFill="1" applyBorder="1" applyAlignment="1">
      <alignment horizontal="center"/>
    </xf>
    <xf numFmtId="0" fontId="38" fillId="0" borderId="0" xfId="0" applyFont="1" applyAlignment="1">
      <alignment horizontal="center" vertical="center"/>
    </xf>
    <xf numFmtId="0" fontId="9" fillId="2" borderId="39" xfId="3" applyFont="1" applyFill="1" applyBorder="1" applyAlignment="1">
      <alignment horizontal="left"/>
    </xf>
    <xf numFmtId="14" fontId="38" fillId="0" borderId="0" xfId="3" quotePrefix="1" applyNumberFormat="1" applyFont="1" applyAlignment="1">
      <alignment horizontal="right"/>
    </xf>
    <xf numFmtId="14" fontId="38" fillId="0" borderId="0" xfId="3" quotePrefix="1" applyNumberFormat="1" applyFont="1"/>
    <xf numFmtId="3" fontId="22" fillId="2" borderId="39" xfId="1" applyNumberFormat="1" applyFont="1" applyFill="1" applyBorder="1" applyAlignment="1">
      <alignment horizontal="right"/>
    </xf>
    <xf numFmtId="3" fontId="9" fillId="2" borderId="39" xfId="1" applyNumberFormat="1" applyFont="1" applyFill="1" applyBorder="1" applyAlignment="1">
      <alignment horizontal="right"/>
    </xf>
    <xf numFmtId="169" fontId="9" fillId="2" borderId="39" xfId="1" applyNumberFormat="1" applyFont="1" applyFill="1" applyBorder="1" applyAlignment="1"/>
    <xf numFmtId="3" fontId="2" fillId="0" borderId="0" xfId="0" applyNumberFormat="1" applyFont="1"/>
    <xf numFmtId="0" fontId="22" fillId="2" borderId="0" xfId="3" applyFont="1" applyFill="1" applyAlignment="1">
      <alignment horizontal="left"/>
    </xf>
    <xf numFmtId="0" fontId="22" fillId="2" borderId="0" xfId="3" quotePrefix="1" applyFont="1" applyFill="1"/>
    <xf numFmtId="3" fontId="10" fillId="0" borderId="39" xfId="0" applyNumberFormat="1" applyFont="1" applyBorder="1" applyAlignment="1">
      <alignment horizontal="right"/>
    </xf>
    <xf numFmtId="0" fontId="10" fillId="7" borderId="39" xfId="0" applyFont="1" applyFill="1" applyBorder="1"/>
    <xf numFmtId="0" fontId="38" fillId="0" borderId="39" xfId="3" quotePrefix="1" applyFont="1" applyBorder="1" applyAlignment="1">
      <alignment horizontal="right"/>
    </xf>
    <xf numFmtId="0" fontId="2" fillId="7" borderId="0" xfId="0" applyFont="1" applyFill="1"/>
    <xf numFmtId="0" fontId="22" fillId="7" borderId="0" xfId="77" applyFont="1" applyFill="1"/>
    <xf numFmtId="0" fontId="24" fillId="0" borderId="0" xfId="77" applyFont="1" applyAlignment="1">
      <alignment horizontal="left" vertical="center"/>
    </xf>
    <xf numFmtId="0" fontId="22" fillId="8" borderId="0" xfId="77" applyFont="1" applyFill="1" applyAlignment="1">
      <alignment vertical="center"/>
    </xf>
    <xf numFmtId="0" fontId="22" fillId="2" borderId="0" xfId="77" applyFont="1" applyFill="1"/>
    <xf numFmtId="0" fontId="2" fillId="4" borderId="0" xfId="0" applyFont="1" applyFill="1"/>
    <xf numFmtId="0" fontId="24" fillId="0" borderId="3" xfId="77" applyFont="1" applyBorder="1" applyAlignment="1">
      <alignment vertical="center" wrapText="1"/>
    </xf>
    <xf numFmtId="0" fontId="24" fillId="0" borderId="0" xfId="77" applyFont="1" applyAlignment="1">
      <alignment vertical="center" wrapText="1"/>
    </xf>
    <xf numFmtId="0" fontId="45" fillId="0" borderId="0" xfId="77" applyFont="1" applyAlignment="1">
      <alignment vertical="center"/>
    </xf>
    <xf numFmtId="0" fontId="38" fillId="0" borderId="3" xfId="3" quotePrefix="1" applyFont="1" applyBorder="1" applyAlignment="1">
      <alignment horizontal="center"/>
    </xf>
    <xf numFmtId="169" fontId="22" fillId="7" borderId="0" xfId="77" applyNumberFormat="1" applyFont="1" applyFill="1"/>
    <xf numFmtId="3" fontId="9" fillId="0" borderId="1" xfId="77" applyNumberFormat="1" applyFont="1" applyBorder="1"/>
    <xf numFmtId="3" fontId="46" fillId="0" borderId="1" xfId="77" applyNumberFormat="1" applyFont="1" applyBorder="1"/>
    <xf numFmtId="3" fontId="22" fillId="0" borderId="1" xfId="77" applyNumberFormat="1" applyFont="1" applyBorder="1"/>
    <xf numFmtId="0" fontId="22" fillId="0" borderId="1" xfId="77" applyFont="1" applyBorder="1"/>
    <xf numFmtId="0" fontId="46" fillId="0" borderId="1" xfId="77" applyFont="1" applyBorder="1"/>
    <xf numFmtId="0" fontId="9" fillId="0" borderId="0" xfId="77" applyFont="1" applyAlignment="1">
      <alignment vertical="center"/>
    </xf>
    <xf numFmtId="0" fontId="22" fillId="0" borderId="0" xfId="77" applyFont="1" applyAlignment="1">
      <alignment vertical="center"/>
    </xf>
    <xf numFmtId="3" fontId="22" fillId="0" borderId="0" xfId="77" applyNumberFormat="1" applyFont="1"/>
    <xf numFmtId="0" fontId="10" fillId="0" borderId="0" xfId="0" applyFont="1" applyAlignment="1">
      <alignment vertical="justify" wrapText="1"/>
    </xf>
    <xf numFmtId="0" fontId="22" fillId="0" borderId="0" xfId="0" applyFont="1" applyAlignment="1">
      <alignment horizontal="right" vertical="center"/>
    </xf>
    <xf numFmtId="3" fontId="22" fillId="0" borderId="39" xfId="0" applyNumberFormat="1" applyFont="1" applyBorder="1" applyAlignment="1">
      <alignment horizontal="right" vertical="center"/>
    </xf>
    <xf numFmtId="0" fontId="52" fillId="0" borderId="0" xfId="0" applyFont="1" applyAlignment="1">
      <alignment vertical="justify" wrapText="1"/>
    </xf>
    <xf numFmtId="0" fontId="56" fillId="0" borderId="0" xfId="0" applyFont="1" applyAlignment="1">
      <alignment vertical="justify" wrapText="1"/>
    </xf>
    <xf numFmtId="1" fontId="22" fillId="0" borderId="0" xfId="0" applyNumberFormat="1" applyFont="1" applyAlignment="1">
      <alignment horizontal="right" vertical="center"/>
    </xf>
    <xf numFmtId="3" fontId="10" fillId="0" borderId="0" xfId="0" applyNumberFormat="1" applyFont="1" applyAlignment="1">
      <alignment horizontal="right" vertical="top" wrapText="1"/>
    </xf>
    <xf numFmtId="3" fontId="10" fillId="0" borderId="39" xfId="0" applyNumberFormat="1" applyFont="1" applyBorder="1" applyAlignment="1">
      <alignment horizontal="right" vertical="top" wrapText="1"/>
    </xf>
    <xf numFmtId="0" fontId="52" fillId="0" borderId="39" xfId="0" applyFont="1" applyBorder="1"/>
    <xf numFmtId="3" fontId="22" fillId="2" borderId="39" xfId="3" applyNumberFormat="1" applyFont="1" applyFill="1" applyBorder="1" applyAlignment="1">
      <alignment horizontal="right"/>
    </xf>
    <xf numFmtId="3" fontId="50" fillId="0" borderId="0" xfId="0" applyNumberFormat="1" applyFont="1" applyAlignment="1">
      <alignment horizontal="right" vertical="center"/>
    </xf>
    <xf numFmtId="0" fontId="22" fillId="0" borderId="0" xfId="3" applyFont="1" applyAlignment="1">
      <alignment horizontal="center"/>
    </xf>
    <xf numFmtId="3" fontId="22" fillId="0" borderId="0" xfId="3" quotePrefix="1" applyNumberFormat="1" applyFont="1" applyAlignment="1">
      <alignment horizontal="center"/>
    </xf>
    <xf numFmtId="0" fontId="52" fillId="0" borderId="39" xfId="0" applyFont="1" applyBorder="1" applyAlignment="1">
      <alignment horizontal="left"/>
    </xf>
    <xf numFmtId="0" fontId="52" fillId="0" borderId="39" xfId="0" applyFont="1" applyBorder="1" applyAlignment="1">
      <alignment horizontal="right" vertical="center"/>
    </xf>
    <xf numFmtId="0" fontId="9" fillId="2" borderId="39" xfId="3" applyFont="1" applyFill="1" applyBorder="1" applyAlignment="1">
      <alignment horizontal="right"/>
    </xf>
    <xf numFmtId="0" fontId="52" fillId="0" borderId="39" xfId="0" applyFont="1" applyBorder="1" applyAlignment="1">
      <alignment horizontal="right"/>
    </xf>
    <xf numFmtId="0" fontId="52" fillId="0" borderId="0" xfId="0" applyFont="1" applyAlignment="1">
      <alignment horizontal="center" vertical="center"/>
    </xf>
    <xf numFmtId="0" fontId="52" fillId="0" borderId="39" xfId="0" applyFont="1" applyBorder="1" applyAlignment="1">
      <alignment vertical="center"/>
    </xf>
    <xf numFmtId="0" fontId="9" fillId="2" borderId="39" xfId="3" applyFont="1" applyFill="1" applyBorder="1" applyAlignment="1">
      <alignment horizontal="center"/>
    </xf>
    <xf numFmtId="0" fontId="52" fillId="0" borderId="39" xfId="0" applyFont="1" applyBorder="1" applyAlignment="1">
      <alignment horizontal="center"/>
    </xf>
    <xf numFmtId="0" fontId="52" fillId="0" borderId="39" xfId="0" applyFont="1" applyBorder="1" applyAlignment="1">
      <alignment horizontal="center" vertical="center"/>
    </xf>
    <xf numFmtId="0" fontId="10" fillId="0" borderId="39" xfId="0" applyFont="1" applyBorder="1" applyAlignment="1">
      <alignment horizontal="right"/>
    </xf>
    <xf numFmtId="0" fontId="10" fillId="0" borderId="39" xfId="0" applyFont="1" applyBorder="1"/>
    <xf numFmtId="3" fontId="10" fillId="0" borderId="39" xfId="0" applyNumberFormat="1" applyFont="1" applyBorder="1"/>
    <xf numFmtId="0" fontId="56" fillId="0" borderId="0" xfId="0" applyFont="1" applyAlignment="1">
      <alignment horizontal="left"/>
    </xf>
    <xf numFmtId="0" fontId="10" fillId="0" borderId="39" xfId="0" applyFont="1" applyBorder="1" applyAlignment="1">
      <alignment horizontal="center"/>
    </xf>
    <xf numFmtId="3" fontId="22" fillId="0" borderId="0" xfId="0" applyNumberFormat="1" applyFont="1" applyAlignment="1">
      <alignment horizontal="right" vertical="center" wrapText="1"/>
    </xf>
    <xf numFmtId="0" fontId="22" fillId="0" borderId="0" xfId="12" applyFont="1" applyAlignment="1">
      <alignment horizontal="left"/>
    </xf>
    <xf numFmtId="0" fontId="9" fillId="0" borderId="0" xfId="12" applyFont="1" applyAlignment="1">
      <alignment horizontal="left"/>
    </xf>
    <xf numFmtId="3" fontId="9" fillId="0" borderId="2" xfId="0" applyNumberFormat="1" applyFont="1" applyBorder="1" applyAlignment="1">
      <alignment horizontal="right" vertical="center"/>
    </xf>
    <xf numFmtId="3" fontId="0" fillId="0" borderId="0" xfId="0" applyNumberFormat="1"/>
    <xf numFmtId="167" fontId="11" fillId="0" borderId="0" xfId="1" applyNumberFormat="1" applyFont="1" applyFill="1" applyBorder="1"/>
    <xf numFmtId="167" fontId="17" fillId="0" borderId="0" xfId="0" applyNumberFormat="1" applyFont="1"/>
    <xf numFmtId="0" fontId="22" fillId="0" borderId="0" xfId="75" applyFont="1" applyFill="1"/>
    <xf numFmtId="167" fontId="16" fillId="0" borderId="0" xfId="0" applyNumberFormat="1" applyFont="1"/>
    <xf numFmtId="0" fontId="87" fillId="0" borderId="0" xfId="0" applyFont="1" applyAlignment="1">
      <alignment horizontal="center"/>
    </xf>
    <xf numFmtId="167" fontId="10" fillId="0" borderId="0" xfId="1" applyNumberFormat="1" applyFont="1" applyAlignment="1"/>
    <xf numFmtId="3" fontId="38" fillId="10" borderId="0" xfId="1" applyNumberFormat="1" applyFont="1" applyFill="1" applyBorder="1" applyAlignment="1"/>
    <xf numFmtId="0" fontId="24" fillId="10" borderId="0" xfId="0" applyFont="1" applyFill="1" applyAlignment="1">
      <alignment vertical="center"/>
    </xf>
    <xf numFmtId="3" fontId="38" fillId="10" borderId="0" xfId="0" applyNumberFormat="1" applyFont="1" applyFill="1" applyAlignment="1">
      <alignment vertical="center"/>
    </xf>
    <xf numFmtId="0" fontId="24" fillId="10" borderId="0" xfId="0" applyFont="1" applyFill="1" applyAlignment="1">
      <alignment horizontal="left" vertical="center"/>
    </xf>
    <xf numFmtId="3" fontId="86" fillId="0" borderId="0" xfId="8" applyNumberFormat="1" applyFont="1" applyAlignment="1"/>
    <xf numFmtId="3" fontId="10" fillId="0" borderId="0" xfId="8" applyNumberFormat="1" applyFont="1" applyAlignment="1"/>
    <xf numFmtId="167" fontId="86" fillId="0" borderId="0" xfId="1" applyNumberFormat="1" applyFont="1" applyAlignment="1"/>
    <xf numFmtId="3" fontId="91" fillId="0" borderId="0" xfId="101" applyNumberFormat="1" applyFont="1"/>
    <xf numFmtId="3" fontId="88" fillId="0" borderId="0" xfId="100" applyNumberFormat="1" applyFont="1"/>
    <xf numFmtId="169" fontId="90" fillId="0" borderId="0" xfId="1" applyNumberFormat="1" applyFont="1" applyFill="1" applyBorder="1" applyAlignment="1"/>
    <xf numFmtId="169" fontId="38" fillId="0" borderId="0" xfId="1" applyNumberFormat="1" applyFont="1" applyFill="1" applyBorder="1" applyAlignment="1"/>
    <xf numFmtId="0" fontId="92" fillId="0" borderId="0" xfId="0" applyFont="1"/>
    <xf numFmtId="0" fontId="89" fillId="0" borderId="0" xfId="0" applyFont="1"/>
    <xf numFmtId="167" fontId="18" fillId="0" borderId="0" xfId="1" applyNumberFormat="1" applyFont="1" applyAlignment="1"/>
    <xf numFmtId="167" fontId="38" fillId="10" borderId="0" xfId="0" applyNumberFormat="1" applyFont="1" applyFill="1" applyAlignment="1">
      <alignment horizontal="right" vertical="center"/>
    </xf>
    <xf numFmtId="3" fontId="25" fillId="7" borderId="39" xfId="9" applyNumberFormat="1" applyFont="1" applyFill="1" applyBorder="1" applyAlignment="1">
      <alignment horizontal="right"/>
    </xf>
    <xf numFmtId="3" fontId="58" fillId="7" borderId="2" xfId="8" applyNumberFormat="1" applyFont="1" applyFill="1" applyBorder="1" applyAlignment="1">
      <alignment horizontal="right"/>
    </xf>
    <xf numFmtId="3" fontId="58" fillId="7" borderId="0" xfId="8" applyNumberFormat="1" applyFont="1" applyFill="1" applyBorder="1" applyAlignment="1">
      <alignment horizontal="right"/>
    </xf>
    <xf numFmtId="177" fontId="10" fillId="0" borderId="0" xfId="1" applyNumberFormat="1" applyFont="1" applyFill="1" applyAlignment="1">
      <alignment horizontal="right"/>
    </xf>
    <xf numFmtId="167" fontId="10" fillId="0" borderId="39" xfId="1" applyNumberFormat="1" applyFont="1" applyFill="1" applyBorder="1" applyAlignment="1">
      <alignment horizontal="right"/>
    </xf>
    <xf numFmtId="167" fontId="10" fillId="0" borderId="0" xfId="1" applyNumberFormat="1" applyFont="1" applyFill="1" applyAlignment="1">
      <alignment horizontal="right"/>
    </xf>
    <xf numFmtId="3" fontId="25" fillId="0" borderId="0" xfId="0" applyNumberFormat="1" applyFont="1" applyAlignment="1">
      <alignment horizontal="right"/>
    </xf>
    <xf numFmtId="0" fontId="9" fillId="0" borderId="0" xfId="0" applyFont="1" applyAlignment="1">
      <alignment horizontal="right"/>
    </xf>
    <xf numFmtId="41" fontId="22" fillId="0" borderId="0" xfId="8" applyFont="1" applyFill="1" applyAlignment="1">
      <alignment horizontal="right"/>
    </xf>
    <xf numFmtId="0" fontId="9" fillId="0" borderId="0" xfId="0" applyFont="1" applyAlignment="1">
      <alignment horizontal="center" wrapText="1"/>
    </xf>
    <xf numFmtId="41" fontId="52" fillId="0" borderId="0" xfId="8" applyFont="1" applyFill="1" applyAlignment="1">
      <alignment horizontal="right"/>
    </xf>
    <xf numFmtId="174" fontId="38" fillId="0" borderId="0" xfId="0" applyNumberFormat="1" applyFont="1" applyAlignment="1">
      <alignment horizontal="right" vertical="center"/>
    </xf>
    <xf numFmtId="167" fontId="10" fillId="0" borderId="0" xfId="0" applyNumberFormat="1" applyFont="1" applyAlignment="1">
      <alignment horizontal="right"/>
    </xf>
    <xf numFmtId="3" fontId="22" fillId="0" borderId="3" xfId="0" applyNumberFormat="1" applyFont="1" applyBorder="1" applyAlignment="1">
      <alignment horizontal="right"/>
    </xf>
    <xf numFmtId="169" fontId="22" fillId="7" borderId="3" xfId="78" applyNumberFormat="1" applyFont="1" applyFill="1" applyBorder="1" applyAlignment="1">
      <alignment horizontal="right"/>
    </xf>
    <xf numFmtId="169" fontId="22" fillId="7" borderId="0" xfId="78" applyNumberFormat="1" applyFont="1" applyFill="1" applyBorder="1" applyAlignment="1">
      <alignment horizontal="right"/>
    </xf>
    <xf numFmtId="3" fontId="22" fillId="7" borderId="0" xfId="78" applyNumberFormat="1" applyFont="1" applyFill="1" applyBorder="1" applyAlignment="1">
      <alignment horizontal="right"/>
    </xf>
    <xf numFmtId="3" fontId="22" fillId="7" borderId="3" xfId="78" quotePrefix="1" applyNumberFormat="1" applyFont="1" applyFill="1" applyBorder="1" applyAlignment="1">
      <alignment horizontal="right"/>
    </xf>
    <xf numFmtId="3" fontId="22" fillId="0" borderId="39" xfId="0" applyNumberFormat="1" applyFont="1" applyBorder="1" applyAlignment="1">
      <alignment horizontal="right"/>
    </xf>
    <xf numFmtId="170" fontId="55" fillId="2" borderId="0" xfId="1" applyNumberFormat="1" applyFont="1" applyFill="1" applyAlignment="1">
      <alignment horizontal="right"/>
    </xf>
    <xf numFmtId="0" fontId="52" fillId="7" borderId="0" xfId="0" applyFont="1" applyFill="1" applyAlignment="1">
      <alignment horizontal="center"/>
    </xf>
    <xf numFmtId="167" fontId="51" fillId="0" borderId="0" xfId="0" applyNumberFormat="1" applyFont="1" applyAlignment="1">
      <alignment horizontal="right"/>
    </xf>
    <xf numFmtId="41" fontId="10" fillId="0" borderId="0" xfId="8" applyFont="1" applyFill="1" applyAlignment="1">
      <alignment horizontal="right"/>
    </xf>
    <xf numFmtId="3" fontId="25" fillId="0" borderId="39" xfId="0" applyNumberFormat="1" applyFont="1" applyBorder="1" applyAlignment="1">
      <alignment horizontal="right"/>
    </xf>
    <xf numFmtId="3" fontId="22" fillId="0" borderId="0" xfId="78" applyNumberFormat="1" applyFont="1" applyFill="1" applyBorder="1" applyAlignment="1"/>
    <xf numFmtId="3" fontId="22" fillId="0" borderId="3" xfId="78" applyNumberFormat="1" applyFont="1" applyFill="1" applyBorder="1" applyAlignment="1"/>
    <xf numFmtId="3" fontId="9" fillId="0" borderId="3" xfId="78" applyNumberFormat="1" applyFont="1" applyFill="1" applyBorder="1" applyAlignment="1"/>
    <xf numFmtId="169" fontId="22" fillId="0" borderId="3" xfId="78" applyNumberFormat="1" applyFont="1" applyFill="1" applyBorder="1" applyAlignment="1"/>
    <xf numFmtId="0" fontId="22" fillId="0" borderId="0" xfId="0" applyFont="1" applyAlignment="1">
      <alignment horizontal="right"/>
    </xf>
    <xf numFmtId="0" fontId="50" fillId="0" borderId="0" xfId="0" applyFont="1" applyAlignment="1">
      <alignment horizontal="right"/>
    </xf>
    <xf numFmtId="41" fontId="10" fillId="0" borderId="0" xfId="8" applyFont="1" applyFill="1" applyBorder="1" applyAlignment="1">
      <alignment horizontal="right"/>
    </xf>
    <xf numFmtId="3" fontId="10" fillId="0" borderId="39" xfId="8" applyNumberFormat="1" applyFont="1" applyFill="1" applyBorder="1" applyAlignment="1">
      <alignment horizontal="right"/>
    </xf>
    <xf numFmtId="169" fontId="22" fillId="7" borderId="3" xfId="78" applyNumberFormat="1" applyFont="1" applyFill="1" applyBorder="1" applyAlignment="1"/>
    <xf numFmtId="171" fontId="18" fillId="0" borderId="0" xfId="8" applyNumberFormat="1" applyFont="1" applyFill="1" applyAlignment="1">
      <alignment horizontal="right"/>
    </xf>
    <xf numFmtId="167" fontId="9" fillId="0" borderId="0" xfId="1" applyNumberFormat="1" applyFont="1" applyFill="1" applyBorder="1" applyAlignment="1">
      <alignment horizontal="right"/>
    </xf>
    <xf numFmtId="3" fontId="22" fillId="7" borderId="3" xfId="78" applyNumberFormat="1" applyFont="1" applyFill="1" applyBorder="1" applyAlignment="1"/>
    <xf numFmtId="0" fontId="9" fillId="0" borderId="0" xfId="0" applyFont="1" applyAlignment="1">
      <alignment horizontal="right" wrapText="1"/>
    </xf>
    <xf numFmtId="170" fontId="55" fillId="2" borderId="0" xfId="1" applyNumberFormat="1" applyFont="1" applyFill="1" applyBorder="1" applyAlignment="1">
      <alignment horizontal="right"/>
    </xf>
    <xf numFmtId="0" fontId="5" fillId="0" borderId="0" xfId="0" applyFont="1" applyAlignment="1">
      <alignment horizontal="right"/>
    </xf>
    <xf numFmtId="167" fontId="38" fillId="10" borderId="0" xfId="1" applyNumberFormat="1" applyFont="1" applyFill="1" applyBorder="1" applyAlignment="1">
      <alignment horizontal="right"/>
    </xf>
    <xf numFmtId="3" fontId="10" fillId="0" borderId="39" xfId="1" applyNumberFormat="1" applyFont="1" applyFill="1" applyBorder="1" applyAlignment="1">
      <alignment horizontal="right"/>
    </xf>
    <xf numFmtId="43" fontId="10" fillId="0" borderId="0" xfId="1" applyFont="1" applyFill="1" applyAlignment="1">
      <alignment horizontal="right"/>
    </xf>
    <xf numFmtId="3" fontId="9" fillId="0" borderId="0" xfId="78" applyNumberFormat="1" applyFont="1" applyFill="1" applyBorder="1" applyAlignment="1"/>
    <xf numFmtId="41" fontId="10" fillId="0" borderId="0" xfId="0" applyNumberFormat="1" applyFont="1" applyAlignment="1">
      <alignment horizontal="right"/>
    </xf>
    <xf numFmtId="41" fontId="52" fillId="7" borderId="0" xfId="8" applyFont="1" applyFill="1" applyBorder="1" applyAlignment="1">
      <alignment horizontal="right"/>
    </xf>
    <xf numFmtId="3" fontId="9" fillId="7" borderId="2" xfId="0" applyNumberFormat="1" applyFont="1" applyFill="1" applyBorder="1" applyAlignment="1">
      <alignment horizontal="right"/>
    </xf>
    <xf numFmtId="0" fontId="22" fillId="0" borderId="0" xfId="0" applyFont="1" applyAlignment="1">
      <alignment vertical="center" wrapText="1"/>
    </xf>
    <xf numFmtId="3" fontId="9" fillId="0" borderId="43" xfId="0" applyNumberFormat="1" applyFont="1" applyBorder="1" applyAlignment="1">
      <alignment horizontal="right" vertical="top" wrapText="1"/>
    </xf>
    <xf numFmtId="3" fontId="52" fillId="7" borderId="43" xfId="0" applyNumberFormat="1" applyFont="1" applyFill="1" applyBorder="1" applyAlignment="1">
      <alignment horizontal="right"/>
    </xf>
    <xf numFmtId="3" fontId="9" fillId="0" borderId="43" xfId="0" applyNumberFormat="1" applyFont="1" applyBorder="1" applyAlignment="1">
      <alignment horizontal="right" vertical="center"/>
    </xf>
    <xf numFmtId="41" fontId="10" fillId="0" borderId="39" xfId="8" applyFont="1" applyFill="1" applyBorder="1" applyAlignment="1">
      <alignment horizontal="right"/>
    </xf>
    <xf numFmtId="3" fontId="22" fillId="7" borderId="0" xfId="0" applyNumberFormat="1" applyFont="1" applyFill="1"/>
    <xf numFmtId="3" fontId="24" fillId="10" borderId="0" xfId="0" applyNumberFormat="1" applyFont="1" applyFill="1" applyAlignment="1">
      <alignment horizontal="right" vertical="center"/>
    </xf>
    <xf numFmtId="167" fontId="24" fillId="10" borderId="0" xfId="0" applyNumberFormat="1" applyFont="1" applyFill="1" applyAlignment="1">
      <alignment horizontal="right" vertical="center"/>
    </xf>
    <xf numFmtId="3" fontId="22" fillId="2" borderId="3" xfId="78" applyNumberFormat="1" applyFont="1" applyFill="1" applyBorder="1" applyAlignment="1">
      <alignment horizontal="right"/>
    </xf>
    <xf numFmtId="169" fontId="22" fillId="0" borderId="3" xfId="78" applyNumberFormat="1" applyFont="1" applyFill="1" applyBorder="1" applyAlignment="1">
      <alignment horizontal="right"/>
    </xf>
    <xf numFmtId="3" fontId="25" fillId="0" borderId="0" xfId="0" applyNumberFormat="1" applyFont="1"/>
    <xf numFmtId="0" fontId="59" fillId="0" borderId="0" xfId="0" applyFont="1"/>
    <xf numFmtId="0" fontId="25" fillId="0" borderId="0" xfId="0" applyFont="1"/>
    <xf numFmtId="3" fontId="25" fillId="0" borderId="0" xfId="9" applyNumberFormat="1" applyFont="1" applyFill="1" applyBorder="1" applyAlignment="1">
      <alignment horizontal="right"/>
    </xf>
    <xf numFmtId="9" fontId="25" fillId="0" borderId="0" xfId="9" applyFont="1" applyFill="1" applyBorder="1"/>
    <xf numFmtId="14" fontId="38" fillId="0" borderId="0" xfId="0" applyNumberFormat="1" applyFont="1" applyAlignment="1">
      <alignment horizontal="center" vertical="center"/>
    </xf>
    <xf numFmtId="3" fontId="38" fillId="0" borderId="0" xfId="0" applyNumberFormat="1" applyFont="1" applyAlignment="1">
      <alignment horizontal="right" vertical="center"/>
    </xf>
    <xf numFmtId="3" fontId="38" fillId="0" borderId="0" xfId="0" applyNumberFormat="1" applyFont="1" applyAlignment="1">
      <alignment horizontal="center" vertical="center"/>
    </xf>
    <xf numFmtId="3" fontId="58" fillId="0" borderId="0" xfId="9" applyNumberFormat="1" applyFont="1" applyFill="1" applyBorder="1" applyAlignment="1">
      <alignment horizontal="right"/>
    </xf>
    <xf numFmtId="3" fontId="58" fillId="0" borderId="0" xfId="0" applyNumberFormat="1" applyFont="1"/>
    <xf numFmtId="167" fontId="10" fillId="2" borderId="0" xfId="0" applyNumberFormat="1" applyFont="1" applyFill="1" applyAlignment="1">
      <alignment horizontal="right"/>
    </xf>
    <xf numFmtId="0" fontId="0" fillId="2" borderId="39" xfId="0" applyFill="1" applyBorder="1"/>
    <xf numFmtId="41" fontId="0" fillId="2" borderId="0" xfId="0" applyNumberFormat="1" applyFill="1" applyAlignment="1">
      <alignment horizontal="right"/>
    </xf>
    <xf numFmtId="3" fontId="52" fillId="2" borderId="0" xfId="0" applyNumberFormat="1" applyFont="1" applyFill="1"/>
    <xf numFmtId="0" fontId="24" fillId="11" borderId="0" xfId="77" applyFont="1" applyFill="1" applyAlignment="1">
      <alignment horizontal="center" vertical="center"/>
    </xf>
    <xf numFmtId="0" fontId="24" fillId="11" borderId="3" xfId="77" applyFont="1" applyFill="1" applyBorder="1" applyAlignment="1">
      <alignment horizontal="center" vertical="center" wrapText="1"/>
    </xf>
    <xf numFmtId="0" fontId="24" fillId="11" borderId="0" xfId="77" applyFont="1" applyFill="1" applyAlignment="1">
      <alignment horizontal="center" vertical="center" wrapText="1"/>
    </xf>
    <xf numFmtId="14" fontId="24" fillId="11" borderId="3" xfId="77" applyNumberFormat="1" applyFont="1" applyFill="1" applyBorder="1" applyAlignment="1">
      <alignment horizontal="center" vertical="center" wrapText="1"/>
    </xf>
    <xf numFmtId="3" fontId="2" fillId="7" borderId="0" xfId="0" applyNumberFormat="1" applyFont="1" applyFill="1"/>
    <xf numFmtId="3" fontId="10" fillId="7" borderId="39" xfId="0" applyNumberFormat="1" applyFont="1" applyFill="1" applyBorder="1"/>
    <xf numFmtId="41" fontId="10" fillId="0" borderId="0" xfId="0" applyNumberFormat="1" applyFont="1"/>
    <xf numFmtId="43" fontId="25" fillId="7" borderId="0" xfId="1" applyFont="1" applyFill="1" applyBorder="1"/>
    <xf numFmtId="43" fontId="10" fillId="7" borderId="0" xfId="1" applyFont="1" applyFill="1"/>
    <xf numFmtId="43" fontId="10" fillId="0" borderId="0" xfId="1" applyFont="1"/>
    <xf numFmtId="14" fontId="20" fillId="10" borderId="0" xfId="1" applyNumberFormat="1" applyFont="1" applyFill="1" applyAlignment="1">
      <alignment horizontal="right"/>
    </xf>
    <xf numFmtId="170" fontId="20" fillId="10" borderId="0" xfId="1" applyNumberFormat="1" applyFont="1" applyFill="1" applyAlignment="1">
      <alignment horizontal="center" vertical="center"/>
    </xf>
    <xf numFmtId="14" fontId="20" fillId="10" borderId="0" xfId="0" applyNumberFormat="1" applyFont="1" applyFill="1" applyAlignment="1">
      <alignment horizontal="center" vertical="center"/>
    </xf>
    <xf numFmtId="14" fontId="20" fillId="10" borderId="0" xfId="0" applyNumberFormat="1" applyFont="1" applyFill="1" applyAlignment="1">
      <alignment vertical="center"/>
    </xf>
    <xf numFmtId="174" fontId="20" fillId="10" borderId="0" xfId="0" applyNumberFormat="1" applyFont="1" applyFill="1" applyAlignment="1">
      <alignment horizontal="right" vertical="center"/>
    </xf>
    <xf numFmtId="14" fontId="20" fillId="10" borderId="39" xfId="3" quotePrefix="1" applyNumberFormat="1" applyFont="1" applyFill="1" applyBorder="1" applyAlignment="1">
      <alignment horizontal="right"/>
    </xf>
    <xf numFmtId="14" fontId="20" fillId="10" borderId="39" xfId="3" quotePrefix="1" applyNumberFormat="1" applyFont="1" applyFill="1" applyBorder="1"/>
    <xf numFmtId="14" fontId="20" fillId="10" borderId="0" xfId="0" applyNumberFormat="1" applyFont="1" applyFill="1" applyAlignment="1">
      <alignment horizontal="center"/>
    </xf>
    <xf numFmtId="14" fontId="20" fillId="10" borderId="0" xfId="0" applyNumberFormat="1" applyFont="1" applyFill="1"/>
    <xf numFmtId="174" fontId="20" fillId="10" borderId="0" xfId="0" applyNumberFormat="1" applyFont="1" applyFill="1" applyAlignment="1">
      <alignment horizontal="center" vertical="center"/>
    </xf>
    <xf numFmtId="14" fontId="20" fillId="10" borderId="39" xfId="0" applyNumberFormat="1" applyFont="1" applyFill="1" applyBorder="1" applyAlignment="1">
      <alignment horizontal="right" vertical="center"/>
    </xf>
    <xf numFmtId="14" fontId="20" fillId="10" borderId="0" xfId="0" applyNumberFormat="1" applyFont="1" applyFill="1" applyAlignment="1">
      <alignment horizontal="right" vertical="center"/>
    </xf>
    <xf numFmtId="14" fontId="20" fillId="10" borderId="0" xfId="0" applyNumberFormat="1" applyFont="1" applyFill="1" applyAlignment="1">
      <alignment horizontal="right" vertical="center" wrapText="1"/>
    </xf>
    <xf numFmtId="0" fontId="94" fillId="10" borderId="27" xfId="0" applyFont="1" applyFill="1" applyBorder="1"/>
    <xf numFmtId="14" fontId="20" fillId="10" borderId="28" xfId="0" applyNumberFormat="1" applyFont="1" applyFill="1" applyBorder="1" applyAlignment="1">
      <alignment horizontal="center" vertical="center" wrapText="1"/>
    </xf>
    <xf numFmtId="0" fontId="20" fillId="10" borderId="28" xfId="0" applyFont="1" applyFill="1" applyBorder="1" applyAlignment="1">
      <alignment vertical="center" wrapText="1"/>
    </xf>
    <xf numFmtId="0" fontId="94" fillId="10" borderId="30" xfId="0" applyFont="1" applyFill="1" applyBorder="1"/>
    <xf numFmtId="3" fontId="20" fillId="0" borderId="0" xfId="0" applyNumberFormat="1" applyFont="1" applyAlignment="1">
      <alignment horizontal="right" vertical="center"/>
    </xf>
    <xf numFmtId="3" fontId="38" fillId="0" borderId="0" xfId="3" quotePrefix="1" applyNumberFormat="1" applyFont="1"/>
    <xf numFmtId="169" fontId="22" fillId="0" borderId="0" xfId="1" applyNumberFormat="1" applyFont="1" applyFill="1" applyAlignment="1">
      <alignment horizontal="right"/>
    </xf>
    <xf numFmtId="0" fontId="86" fillId="0" borderId="0" xfId="0" applyFont="1"/>
    <xf numFmtId="3" fontId="22" fillId="0" borderId="0" xfId="0" applyNumberFormat="1" applyFont="1" applyAlignment="1">
      <alignment vertical="center" wrapText="1"/>
    </xf>
    <xf numFmtId="3" fontId="22" fillId="0" borderId="0" xfId="0" applyNumberFormat="1" applyFont="1"/>
    <xf numFmtId="169" fontId="52" fillId="2" borderId="0" xfId="0" applyNumberFormat="1" applyFont="1" applyFill="1"/>
    <xf numFmtId="3" fontId="22" fillId="2" borderId="0" xfId="10" applyNumberFormat="1" applyFont="1" applyFill="1" applyAlignment="1">
      <alignment horizontal="right"/>
    </xf>
    <xf numFmtId="3" fontId="22" fillId="7" borderId="0" xfId="77" applyNumberFormat="1" applyFont="1" applyFill="1"/>
    <xf numFmtId="3" fontId="22" fillId="2" borderId="0" xfId="77" applyNumberFormat="1" applyFont="1" applyFill="1"/>
    <xf numFmtId="3" fontId="22" fillId="0" borderId="3" xfId="78" applyNumberFormat="1" applyFont="1" applyFill="1" applyBorder="1" applyAlignment="1">
      <alignment horizontal="right"/>
    </xf>
    <xf numFmtId="3" fontId="22" fillId="0" borderId="0" xfId="78" applyNumberFormat="1" applyFont="1" applyFill="1" applyBorder="1" applyAlignment="1">
      <alignment horizontal="right"/>
    </xf>
    <xf numFmtId="0" fontId="22" fillId="0" borderId="0" xfId="77" applyFont="1"/>
    <xf numFmtId="173" fontId="25" fillId="7" borderId="0" xfId="1" applyNumberFormat="1" applyFont="1" applyFill="1" applyBorder="1" applyAlignment="1">
      <alignment horizontal="right"/>
    </xf>
    <xf numFmtId="14" fontId="27" fillId="0" borderId="0" xfId="0" applyNumberFormat="1" applyFont="1" applyAlignment="1">
      <alignment horizontal="center" vertical="center"/>
    </xf>
    <xf numFmtId="0" fontId="95" fillId="0" borderId="0" xfId="0" applyFont="1"/>
    <xf numFmtId="1" fontId="21" fillId="0" borderId="0" xfId="0" applyNumberFormat="1" applyFont="1" applyAlignment="1">
      <alignment horizontal="center"/>
    </xf>
    <xf numFmtId="0" fontId="96" fillId="0" borderId="0" xfId="0" applyFont="1"/>
    <xf numFmtId="3" fontId="21" fillId="0" borderId="0" xfId="0" applyNumberFormat="1" applyFont="1"/>
    <xf numFmtId="0" fontId="21" fillId="0" borderId="0" xfId="0" applyFont="1" applyAlignment="1">
      <alignment horizontal="center"/>
    </xf>
    <xf numFmtId="0" fontId="0" fillId="0" borderId="0" xfId="0" applyAlignment="1">
      <alignment horizontal="right"/>
    </xf>
    <xf numFmtId="3" fontId="0" fillId="0" borderId="0" xfId="0" quotePrefix="1" applyNumberFormat="1"/>
    <xf numFmtId="0" fontId="0" fillId="0" borderId="0" xfId="0" quotePrefix="1"/>
    <xf numFmtId="0" fontId="52" fillId="0" borderId="0" xfId="0" applyFont="1" applyAlignment="1">
      <alignment horizontal="right"/>
    </xf>
    <xf numFmtId="3" fontId="9" fillId="2" borderId="0" xfId="1" applyNumberFormat="1" applyFont="1" applyFill="1" applyBorder="1"/>
    <xf numFmtId="169" fontId="22" fillId="2" borderId="39" xfId="1" applyNumberFormat="1" applyFont="1" applyFill="1" applyBorder="1"/>
    <xf numFmtId="3" fontId="22" fillId="2" borderId="39" xfId="1" applyNumberFormat="1" applyFont="1" applyFill="1" applyBorder="1"/>
    <xf numFmtId="0" fontId="11" fillId="2" borderId="0" xfId="0" applyFont="1" applyFill="1"/>
    <xf numFmtId="0" fontId="99" fillId="0" borderId="0" xfId="0" applyFont="1"/>
    <xf numFmtId="0" fontId="100" fillId="0" borderId="0" xfId="0" applyFont="1"/>
    <xf numFmtId="167" fontId="38" fillId="10" borderId="0" xfId="1" applyNumberFormat="1" applyFont="1" applyFill="1" applyBorder="1" applyAlignment="1">
      <alignment horizontal="center" vertical="center" wrapText="1"/>
    </xf>
    <xf numFmtId="167" fontId="38" fillId="10" borderId="0" xfId="1" applyNumberFormat="1" applyFont="1" applyFill="1" applyAlignment="1">
      <alignment horizontal="center" vertical="center" wrapText="1"/>
    </xf>
    <xf numFmtId="41" fontId="10" fillId="7" borderId="0" xfId="0" applyNumberFormat="1" applyFont="1" applyFill="1"/>
    <xf numFmtId="14" fontId="20" fillId="10" borderId="0" xfId="3" quotePrefix="1" applyNumberFormat="1" applyFont="1" applyFill="1" applyAlignment="1">
      <alignment horizontal="right"/>
    </xf>
    <xf numFmtId="14" fontId="20" fillId="0" borderId="0" xfId="3" quotePrefix="1" applyNumberFormat="1" applyFont="1" applyAlignment="1">
      <alignment horizontal="right"/>
    </xf>
    <xf numFmtId="14" fontId="20" fillId="10" borderId="0" xfId="3" quotePrefix="1" applyNumberFormat="1" applyFont="1" applyFill="1"/>
    <xf numFmtId="14" fontId="20" fillId="0" borderId="0" xfId="3" quotePrefix="1" applyNumberFormat="1" applyFont="1"/>
    <xf numFmtId="173" fontId="22" fillId="0" borderId="0" xfId="1" applyNumberFormat="1" applyFont="1" applyFill="1" applyAlignment="1">
      <alignment horizontal="right"/>
    </xf>
    <xf numFmtId="0" fontId="38" fillId="10" borderId="0" xfId="0" applyFont="1" applyFill="1" applyAlignment="1">
      <alignment horizontal="center"/>
    </xf>
    <xf numFmtId="0" fontId="65" fillId="0" borderId="0" xfId="13" applyFont="1" applyAlignment="1">
      <alignment horizontal="right"/>
    </xf>
    <xf numFmtId="0" fontId="65" fillId="7" borderId="0" xfId="13" applyFont="1" applyFill="1" applyAlignment="1">
      <alignment horizontal="right"/>
    </xf>
    <xf numFmtId="0" fontId="64" fillId="7" borderId="0" xfId="13" applyFont="1" applyFill="1" applyAlignment="1">
      <alignment horizontal="right"/>
    </xf>
    <xf numFmtId="0" fontId="64" fillId="0" borderId="0" xfId="13" applyFont="1" applyFill="1" applyAlignment="1">
      <alignment horizontal="right"/>
    </xf>
    <xf numFmtId="0" fontId="63" fillId="0" borderId="0" xfId="13" applyFont="1" applyFill="1" applyAlignment="1">
      <alignment horizontal="right"/>
    </xf>
    <xf numFmtId="0" fontId="101" fillId="0" borderId="0" xfId="0" applyFont="1" applyAlignment="1">
      <alignment horizontal="center"/>
    </xf>
    <xf numFmtId="0" fontId="64" fillId="0" borderId="0" xfId="13" applyFont="1" applyAlignment="1">
      <alignment horizontal="right"/>
    </xf>
    <xf numFmtId="14" fontId="10" fillId="0" borderId="0" xfId="0" applyNumberFormat="1" applyFont="1" applyAlignment="1">
      <alignment horizontal="center"/>
    </xf>
    <xf numFmtId="14" fontId="10" fillId="0" borderId="39" xfId="0" applyNumberFormat="1" applyFont="1" applyBorder="1" applyAlignment="1">
      <alignment horizontal="center"/>
    </xf>
    <xf numFmtId="0" fontId="63" fillId="0" borderId="0" xfId="13" applyFont="1" applyAlignment="1">
      <alignment horizontal="right"/>
    </xf>
    <xf numFmtId="0" fontId="14" fillId="7" borderId="0" xfId="13" applyFill="1" applyAlignment="1">
      <alignment horizontal="right"/>
    </xf>
    <xf numFmtId="0" fontId="64" fillId="0" borderId="0" xfId="13" applyFont="1" applyFill="1" applyAlignment="1">
      <alignment horizontal="center" vertical="center"/>
    </xf>
    <xf numFmtId="0" fontId="24" fillId="11" borderId="0" xfId="0" applyFont="1" applyFill="1"/>
    <xf numFmtId="0" fontId="24" fillId="0" borderId="0" xfId="0" applyFont="1"/>
    <xf numFmtId="0" fontId="39" fillId="8" borderId="0" xfId="0" applyFont="1" applyFill="1"/>
    <xf numFmtId="0" fontId="52" fillId="9" borderId="0" xfId="0" applyFont="1" applyFill="1"/>
    <xf numFmtId="0" fontId="40" fillId="9" borderId="0" xfId="0" applyFont="1" applyFill="1"/>
    <xf numFmtId="0" fontId="56" fillId="9" borderId="44" xfId="0" applyFont="1" applyFill="1" applyBorder="1"/>
    <xf numFmtId="14" fontId="38" fillId="10" borderId="45" xfId="0" applyNumberFormat="1" applyFont="1" applyFill="1" applyBorder="1" applyAlignment="1">
      <alignment horizontal="center" vertical="center"/>
    </xf>
    <xf numFmtId="0" fontId="10" fillId="9" borderId="0" xfId="0" applyFont="1" applyFill="1"/>
    <xf numFmtId="0" fontId="49" fillId="9" borderId="0" xfId="0" applyFont="1" applyFill="1"/>
    <xf numFmtId="14" fontId="38" fillId="0" borderId="46" xfId="0" applyNumberFormat="1" applyFont="1" applyBorder="1" applyAlignment="1">
      <alignment horizontal="center" vertical="center"/>
    </xf>
    <xf numFmtId="3" fontId="38" fillId="0" borderId="3" xfId="0" applyNumberFormat="1" applyFont="1" applyBorder="1" applyAlignment="1">
      <alignment horizontal="center" vertical="center"/>
    </xf>
    <xf numFmtId="0" fontId="56" fillId="9" borderId="0" xfId="0" applyFont="1" applyFill="1"/>
    <xf numFmtId="3" fontId="50" fillId="0" borderId="3" xfId="0" applyNumberFormat="1" applyFont="1" applyBorder="1" applyAlignment="1">
      <alignment horizontal="center" vertical="center"/>
    </xf>
    <xf numFmtId="0" fontId="56" fillId="9" borderId="1" xfId="0" applyFont="1" applyFill="1" applyBorder="1"/>
    <xf numFmtId="0" fontId="10" fillId="0" borderId="1" xfId="0" applyFont="1" applyBorder="1" applyAlignment="1">
      <alignment horizontal="left" vertical="center"/>
    </xf>
    <xf numFmtId="0" fontId="52" fillId="0" borderId="1" xfId="0" applyFont="1" applyBorder="1"/>
    <xf numFmtId="0" fontId="49" fillId="0" borderId="1" xfId="0" applyFont="1" applyBorder="1" applyAlignment="1">
      <alignment horizontal="left" vertical="center"/>
    </xf>
    <xf numFmtId="0" fontId="49" fillId="0" borderId="1" xfId="0" applyFont="1" applyBorder="1"/>
    <xf numFmtId="0" fontId="10" fillId="0" borderId="1" xfId="0" applyFont="1" applyBorder="1"/>
    <xf numFmtId="0" fontId="52" fillId="0" borderId="1" xfId="0" applyFont="1" applyBorder="1" applyAlignment="1">
      <alignment horizontal="left"/>
    </xf>
    <xf numFmtId="0" fontId="52" fillId="0" borderId="1" xfId="0" applyFont="1" applyBorder="1" applyAlignment="1">
      <alignment horizontal="left" vertical="center"/>
    </xf>
    <xf numFmtId="3" fontId="40" fillId="9" borderId="0" xfId="0" applyNumberFormat="1" applyFont="1" applyFill="1"/>
    <xf numFmtId="0" fontId="56" fillId="0" borderId="0" xfId="0" applyFont="1" applyAlignment="1">
      <alignment horizontal="left" vertical="center"/>
    </xf>
    <xf numFmtId="0" fontId="58" fillId="0" borderId="47" xfId="0" applyFont="1" applyBorder="1" applyAlignment="1">
      <alignment horizontal="left" vertical="center"/>
    </xf>
    <xf numFmtId="0" fontId="41" fillId="9" borderId="0" xfId="0" applyFont="1" applyFill="1"/>
    <xf numFmtId="0" fontId="42" fillId="0" borderId="0" xfId="0" applyFont="1"/>
    <xf numFmtId="0" fontId="41" fillId="0" borderId="0" xfId="0" applyFont="1"/>
    <xf numFmtId="0" fontId="103" fillId="0" borderId="0" xfId="0" applyFont="1" applyAlignment="1">
      <alignment horizontal="left" vertical="center"/>
    </xf>
    <xf numFmtId="0" fontId="103" fillId="0" borderId="1" xfId="0" applyFont="1" applyBorder="1" applyAlignment="1">
      <alignment horizontal="left" vertical="center"/>
    </xf>
    <xf numFmtId="0" fontId="10" fillId="0" borderId="45" xfId="0" applyFont="1" applyBorder="1"/>
    <xf numFmtId="168" fontId="10" fillId="0" borderId="0" xfId="1" applyNumberFormat="1" applyFont="1" applyFill="1" applyBorder="1"/>
    <xf numFmtId="9" fontId="10" fillId="0" borderId="0" xfId="9" applyFont="1" applyFill="1" applyBorder="1"/>
    <xf numFmtId="0" fontId="17" fillId="2" borderId="0" xfId="0" applyFont="1" applyFill="1"/>
    <xf numFmtId="0" fontId="5" fillId="7" borderId="0" xfId="0" applyFont="1" applyFill="1"/>
    <xf numFmtId="0" fontId="5" fillId="2" borderId="45" xfId="0" applyFont="1" applyFill="1" applyBorder="1"/>
    <xf numFmtId="0" fontId="5" fillId="2" borderId="47" xfId="15" applyFont="1" applyFill="1" applyBorder="1"/>
    <xf numFmtId="0" fontId="5" fillId="2" borderId="46" xfId="15" applyFont="1" applyFill="1" applyBorder="1"/>
    <xf numFmtId="168" fontId="5" fillId="0" borderId="45" xfId="106" applyNumberFormat="1" applyFont="1" applyFill="1" applyBorder="1"/>
    <xf numFmtId="9" fontId="5" fillId="0" borderId="48" xfId="150" applyFont="1" applyFill="1" applyBorder="1" applyAlignment="1">
      <alignment horizontal="center"/>
    </xf>
    <xf numFmtId="0" fontId="36" fillId="2" borderId="47" xfId="15" applyFont="1" applyFill="1" applyBorder="1"/>
    <xf numFmtId="0" fontId="5" fillId="2" borderId="45" xfId="15" applyFont="1" applyFill="1" applyBorder="1"/>
    <xf numFmtId="168" fontId="5" fillId="2" borderId="43" xfId="106" applyNumberFormat="1" applyFont="1" applyFill="1" applyBorder="1"/>
    <xf numFmtId="168" fontId="5" fillId="2" borderId="48" xfId="106" applyNumberFormat="1" applyFont="1" applyFill="1" applyBorder="1"/>
    <xf numFmtId="0" fontId="5" fillId="2" borderId="45" xfId="15" applyFont="1" applyFill="1" applyBorder="1" applyAlignment="1">
      <alignment wrapText="1"/>
    </xf>
    <xf numFmtId="168" fontId="5" fillId="2" borderId="45" xfId="106" applyNumberFormat="1" applyFont="1" applyFill="1" applyBorder="1"/>
    <xf numFmtId="168" fontId="5" fillId="2" borderId="41" xfId="106" applyNumberFormat="1" applyFont="1" applyFill="1" applyBorder="1"/>
    <xf numFmtId="0" fontId="5" fillId="2" borderId="43" xfId="15" applyFont="1" applyFill="1" applyBorder="1"/>
    <xf numFmtId="0" fontId="5" fillId="2" borderId="48" xfId="15" applyFont="1" applyFill="1" applyBorder="1"/>
    <xf numFmtId="0" fontId="11" fillId="2" borderId="45" xfId="15" applyFont="1" applyFill="1" applyBorder="1" applyAlignment="1">
      <alignment wrapText="1"/>
    </xf>
    <xf numFmtId="168" fontId="4" fillId="2" borderId="47" xfId="106" applyNumberFormat="1" applyFont="1" applyFill="1" applyBorder="1" applyAlignment="1">
      <alignment vertical="center"/>
    </xf>
    <xf numFmtId="0" fontId="5" fillId="2" borderId="0" xfId="15" applyFont="1" applyFill="1"/>
    <xf numFmtId="0" fontId="10" fillId="2" borderId="45" xfId="0" applyFont="1" applyFill="1" applyBorder="1"/>
    <xf numFmtId="0" fontId="4" fillId="2" borderId="45" xfId="15" applyFont="1" applyFill="1" applyBorder="1"/>
    <xf numFmtId="0" fontId="5" fillId="0" borderId="0" xfId="15" applyFont="1"/>
    <xf numFmtId="0" fontId="104" fillId="2" borderId="45" xfId="15" applyFont="1" applyFill="1" applyBorder="1"/>
    <xf numFmtId="0" fontId="5" fillId="0" borderId="45" xfId="15" applyFont="1" applyBorder="1" applyAlignment="1">
      <alignment horizontal="center"/>
    </xf>
    <xf numFmtId="0" fontId="5" fillId="2" borderId="45" xfId="15" applyFont="1" applyFill="1" applyBorder="1" applyAlignment="1">
      <alignment horizontal="center"/>
    </xf>
    <xf numFmtId="3" fontId="5" fillId="2" borderId="45" xfId="0" applyNumberFormat="1" applyFont="1" applyFill="1" applyBorder="1"/>
    <xf numFmtId="3" fontId="5" fillId="2" borderId="0" xfId="0" applyNumberFormat="1" applyFont="1" applyFill="1"/>
    <xf numFmtId="168" fontId="5" fillId="2" borderId="0" xfId="0" applyNumberFormat="1" applyFont="1" applyFill="1"/>
    <xf numFmtId="0" fontId="6" fillId="7" borderId="0" xfId="0" applyFont="1" applyFill="1"/>
    <xf numFmtId="3" fontId="6" fillId="7" borderId="0" xfId="0" applyNumberFormat="1" applyFont="1" applyFill="1"/>
    <xf numFmtId="0" fontId="10" fillId="0" borderId="0" xfId="0" applyFont="1" applyAlignment="1">
      <alignment horizontal="justify" vertical="justify"/>
    </xf>
    <xf numFmtId="0" fontId="32" fillId="2" borderId="0" xfId="0" applyFont="1" applyFill="1" applyAlignment="1">
      <alignment horizontal="left"/>
    </xf>
    <xf numFmtId="14" fontId="20" fillId="0" borderId="0" xfId="0" applyNumberFormat="1" applyFont="1" applyAlignment="1">
      <alignment horizontal="center" vertical="center"/>
    </xf>
    <xf numFmtId="14" fontId="20" fillId="10" borderId="40" xfId="0" applyNumberFormat="1" applyFont="1" applyFill="1" applyBorder="1" applyAlignment="1">
      <alignment horizontal="center" vertical="center"/>
    </xf>
    <xf numFmtId="3" fontId="4" fillId="2" borderId="45" xfId="0" applyNumberFormat="1" applyFont="1" applyFill="1" applyBorder="1"/>
    <xf numFmtId="3" fontId="58" fillId="0" borderId="0" xfId="0" applyNumberFormat="1" applyFont="1" applyAlignment="1">
      <alignment horizontal="right"/>
    </xf>
    <xf numFmtId="3" fontId="4" fillId="0" borderId="0" xfId="0" applyNumberFormat="1" applyFont="1"/>
    <xf numFmtId="14" fontId="38" fillId="10" borderId="39" xfId="3" quotePrefix="1" applyNumberFormat="1" applyFont="1" applyFill="1" applyBorder="1" applyAlignment="1">
      <alignment horizontal="right"/>
    </xf>
    <xf numFmtId="14" fontId="38" fillId="10" borderId="39" xfId="3" quotePrefix="1" applyNumberFormat="1" applyFont="1" applyFill="1" applyBorder="1"/>
    <xf numFmtId="173" fontId="10" fillId="0" borderId="0" xfId="1" applyNumberFormat="1" applyFont="1" applyFill="1" applyAlignment="1">
      <alignment horizontal="right"/>
    </xf>
    <xf numFmtId="173" fontId="10" fillId="0" borderId="0" xfId="8" applyNumberFormat="1" applyFont="1" applyFill="1" applyAlignment="1">
      <alignment horizontal="right"/>
    </xf>
    <xf numFmtId="41" fontId="0" fillId="0" borderId="0" xfId="0" applyNumberFormat="1"/>
    <xf numFmtId="3" fontId="54" fillId="0" borderId="0" xfId="0" applyNumberFormat="1" applyFont="1" applyAlignment="1">
      <alignment horizontal="right"/>
    </xf>
    <xf numFmtId="3" fontId="9" fillId="2" borderId="0" xfId="4" applyNumberFormat="1" applyFont="1" applyFill="1" applyAlignment="1">
      <alignment horizontal="right"/>
    </xf>
    <xf numFmtId="3" fontId="33" fillId="0" borderId="0" xfId="0" applyNumberFormat="1" applyFont="1" applyAlignment="1">
      <alignment horizontal="right" vertical="center" wrapText="1"/>
    </xf>
    <xf numFmtId="3" fontId="22" fillId="2" borderId="0" xfId="4" applyNumberFormat="1" applyFont="1" applyFill="1" applyAlignment="1">
      <alignment horizontal="right"/>
    </xf>
    <xf numFmtId="174" fontId="20" fillId="10" borderId="0" xfId="0" applyNumberFormat="1" applyFont="1" applyFill="1" applyAlignment="1">
      <alignment vertical="center"/>
    </xf>
    <xf numFmtId="0" fontId="105" fillId="0" borderId="0" xfId="0" applyFont="1"/>
    <xf numFmtId="3" fontId="22" fillId="0" borderId="40" xfId="78" applyNumberFormat="1" applyFont="1" applyFill="1" applyBorder="1" applyAlignment="1"/>
    <xf numFmtId="3" fontId="22" fillId="0" borderId="0" xfId="1" applyNumberFormat="1" applyFont="1" applyFill="1" applyBorder="1" applyAlignment="1">
      <alignment horizontal="right"/>
    </xf>
    <xf numFmtId="3" fontId="22" fillId="0" borderId="0" xfId="3" quotePrefix="1" applyNumberFormat="1" applyFont="1" applyAlignment="1">
      <alignment horizontal="right"/>
    </xf>
    <xf numFmtId="0" fontId="25" fillId="0" borderId="0" xfId="0" applyFont="1" applyAlignment="1">
      <alignment horizontal="justify" vertical="justify" wrapText="1"/>
    </xf>
    <xf numFmtId="3" fontId="58" fillId="7" borderId="39" xfId="8" applyNumberFormat="1" applyFont="1" applyFill="1" applyBorder="1" applyAlignment="1">
      <alignment horizontal="right"/>
    </xf>
    <xf numFmtId="3" fontId="52" fillId="7" borderId="39" xfId="0" applyNumberFormat="1" applyFont="1" applyFill="1" applyBorder="1"/>
    <xf numFmtId="3" fontId="22" fillId="0" borderId="0" xfId="3" applyNumberFormat="1" applyFont="1" applyAlignment="1">
      <alignment horizontal="right"/>
    </xf>
    <xf numFmtId="3" fontId="5" fillId="0" borderId="45" xfId="0" applyNumberFormat="1" applyFont="1" applyBorder="1"/>
    <xf numFmtId="0" fontId="62" fillId="0" borderId="0" xfId="0" applyFont="1" applyAlignment="1">
      <alignment horizontal="center" vertical="center"/>
    </xf>
    <xf numFmtId="167" fontId="10" fillId="0" borderId="0" xfId="1" applyNumberFormat="1" applyFont="1" applyFill="1" applyBorder="1"/>
    <xf numFmtId="3" fontId="52" fillId="7" borderId="43" xfId="8" applyNumberFormat="1" applyFont="1" applyFill="1" applyBorder="1"/>
    <xf numFmtId="169" fontId="25" fillId="0" borderId="0" xfId="86" applyNumberFormat="1" applyFont="1" applyFill="1" applyBorder="1"/>
    <xf numFmtId="3" fontId="25" fillId="0" borderId="0" xfId="9" applyNumberFormat="1" applyFont="1" applyFill="1" applyBorder="1"/>
    <xf numFmtId="14" fontId="38" fillId="10" borderId="0" xfId="0" applyNumberFormat="1" applyFont="1" applyFill="1" applyAlignment="1">
      <alignment horizontal="center" vertical="center"/>
    </xf>
    <xf numFmtId="0" fontId="10" fillId="0" borderId="45" xfId="0" applyFont="1" applyBorder="1" applyAlignment="1">
      <alignment horizontal="center" vertical="center" wrapText="1"/>
    </xf>
    <xf numFmtId="3" fontId="10" fillId="7" borderId="45" xfId="0" applyNumberFormat="1" applyFont="1" applyFill="1" applyBorder="1" applyAlignment="1">
      <alignment horizontal="right"/>
    </xf>
    <xf numFmtId="0" fontId="10" fillId="7" borderId="46" xfId="0" applyFont="1" applyFill="1" applyBorder="1"/>
    <xf numFmtId="3" fontId="10" fillId="7" borderId="46" xfId="0" applyNumberFormat="1" applyFont="1" applyFill="1" applyBorder="1" applyAlignment="1">
      <alignment horizontal="right"/>
    </xf>
    <xf numFmtId="3" fontId="52" fillId="7" borderId="40" xfId="0" applyNumberFormat="1" applyFont="1" applyFill="1" applyBorder="1"/>
    <xf numFmtId="0" fontId="10" fillId="7" borderId="45" xfId="0" applyFont="1" applyFill="1" applyBorder="1"/>
    <xf numFmtId="0" fontId="10" fillId="7" borderId="45" xfId="0" applyFont="1" applyFill="1" applyBorder="1" applyAlignment="1">
      <alignment horizontal="center"/>
    </xf>
    <xf numFmtId="3" fontId="10" fillId="0" borderId="46" xfId="0" applyNumberFormat="1" applyFont="1" applyBorder="1" applyAlignment="1">
      <alignment vertical="center" wrapText="1"/>
    </xf>
    <xf numFmtId="3" fontId="10" fillId="0" borderId="45" xfId="0" applyNumberFormat="1" applyFont="1" applyBorder="1" applyAlignment="1">
      <alignment vertical="center" wrapText="1"/>
    </xf>
    <xf numFmtId="169" fontId="22" fillId="2" borderId="0" xfId="77" applyNumberFormat="1" applyFont="1" applyFill="1"/>
    <xf numFmtId="0" fontId="52" fillId="7" borderId="45" xfId="0" applyFont="1" applyFill="1" applyBorder="1" applyAlignment="1">
      <alignment horizontal="center"/>
    </xf>
    <xf numFmtId="3" fontId="10" fillId="7" borderId="39" xfId="0" applyNumberFormat="1" applyFont="1" applyFill="1" applyBorder="1" applyAlignment="1">
      <alignment horizontal="right"/>
    </xf>
    <xf numFmtId="3" fontId="6" fillId="0" borderId="45" xfId="106" applyNumberFormat="1" applyFont="1" applyFill="1" applyBorder="1"/>
    <xf numFmtId="3" fontId="4" fillId="0" borderId="45" xfId="0" applyNumberFormat="1" applyFont="1" applyBorder="1"/>
    <xf numFmtId="3" fontId="10" fillId="0" borderId="3" xfId="0" applyNumberFormat="1" applyFont="1" applyBorder="1" applyAlignment="1">
      <alignment horizontal="right"/>
    </xf>
    <xf numFmtId="3" fontId="102" fillId="0" borderId="3" xfId="0" applyNumberFormat="1" applyFont="1" applyBorder="1" applyAlignment="1">
      <alignment horizontal="right"/>
    </xf>
    <xf numFmtId="14" fontId="38" fillId="0" borderId="3"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3" xfId="0" applyNumberFormat="1" applyFont="1" applyBorder="1" applyAlignment="1">
      <alignment horizontal="right" vertical="center"/>
    </xf>
    <xf numFmtId="3" fontId="10" fillId="0" borderId="3" xfId="0" applyNumberFormat="1" applyFont="1" applyBorder="1" applyAlignment="1">
      <alignment horizontal="right" wrapText="1"/>
    </xf>
    <xf numFmtId="3" fontId="10" fillId="0" borderId="3" xfId="0" applyNumberFormat="1" applyFont="1" applyBorder="1" applyAlignment="1">
      <alignment horizontal="right" vertical="center" wrapText="1"/>
    </xf>
    <xf numFmtId="3" fontId="10" fillId="0" borderId="3" xfId="0" applyNumberFormat="1" applyFont="1" applyBorder="1"/>
    <xf numFmtId="3" fontId="50" fillId="0" borderId="3" xfId="0" applyNumberFormat="1" applyFont="1" applyBorder="1" applyAlignment="1">
      <alignment horizontal="right" vertical="center"/>
    </xf>
    <xf numFmtId="173" fontId="10" fillId="0" borderId="0" xfId="0" applyNumberFormat="1" applyFont="1"/>
    <xf numFmtId="3" fontId="22" fillId="0" borderId="0" xfId="1" applyNumberFormat="1" applyFont="1" applyFill="1" applyAlignment="1">
      <alignment horizontal="right"/>
    </xf>
    <xf numFmtId="169" fontId="9" fillId="0" borderId="0" xfId="1" applyNumberFormat="1" applyFont="1" applyFill="1" applyBorder="1"/>
    <xf numFmtId="0" fontId="10" fillId="0" borderId="0" xfId="0" quotePrefix="1" applyFont="1"/>
    <xf numFmtId="0" fontId="60" fillId="0" borderId="0" xfId="0" applyFont="1"/>
    <xf numFmtId="3" fontId="58" fillId="7" borderId="49" xfId="9" applyNumberFormat="1" applyFont="1" applyFill="1" applyBorder="1" applyAlignment="1">
      <alignment horizontal="right"/>
    </xf>
    <xf numFmtId="3" fontId="58" fillId="7" borderId="49" xfId="0" applyNumberFormat="1" applyFont="1" applyFill="1" applyBorder="1" applyAlignment="1">
      <alignment horizontal="right"/>
    </xf>
    <xf numFmtId="3" fontId="8" fillId="0" borderId="45" xfId="0" applyNumberFormat="1" applyFont="1" applyBorder="1"/>
    <xf numFmtId="3" fontId="52" fillId="0" borderId="40" xfId="0" applyNumberFormat="1" applyFont="1" applyBorder="1"/>
    <xf numFmtId="3" fontId="10" fillId="0" borderId="0" xfId="0" applyNumberFormat="1" applyFont="1" applyAlignment="1">
      <alignment vertical="center"/>
    </xf>
    <xf numFmtId="3" fontId="9" fillId="2" borderId="0" xfId="4" applyNumberFormat="1" applyFont="1" applyFill="1"/>
    <xf numFmtId="3" fontId="22" fillId="2" borderId="0" xfId="4" applyNumberFormat="1" applyFont="1" applyFill="1"/>
    <xf numFmtId="3" fontId="22" fillId="0" borderId="39" xfId="0" applyNumberFormat="1" applyFont="1" applyBorder="1"/>
    <xf numFmtId="3" fontId="10" fillId="0" borderId="1" xfId="0" applyNumberFormat="1" applyFont="1" applyBorder="1" applyAlignment="1">
      <alignment horizontal="right"/>
    </xf>
    <xf numFmtId="3" fontId="0" fillId="0" borderId="1" xfId="0" applyNumberFormat="1" applyBorder="1" applyAlignment="1">
      <alignment horizontal="right"/>
    </xf>
    <xf numFmtId="3" fontId="52" fillId="0" borderId="48" xfId="0" applyNumberFormat="1" applyFont="1" applyBorder="1" applyAlignment="1">
      <alignment horizontal="right"/>
    </xf>
    <xf numFmtId="3" fontId="52" fillId="0" borderId="45" xfId="0" applyNumberFormat="1" applyFont="1" applyBorder="1" applyAlignment="1">
      <alignment horizontal="right"/>
    </xf>
    <xf numFmtId="0" fontId="5" fillId="12" borderId="45" xfId="0" applyFont="1" applyFill="1" applyBorder="1"/>
    <xf numFmtId="3" fontId="5" fillId="12" borderId="45" xfId="0" applyNumberFormat="1" applyFont="1" applyFill="1" applyBorder="1"/>
    <xf numFmtId="3" fontId="9" fillId="0" borderId="0" xfId="1" applyNumberFormat="1" applyFont="1" applyFill="1" applyBorder="1"/>
    <xf numFmtId="0" fontId="9" fillId="0" borderId="0" xfId="3" applyFont="1" applyAlignment="1">
      <alignment horizontal="left"/>
    </xf>
    <xf numFmtId="169" fontId="22" fillId="0" borderId="0" xfId="1" applyNumberFormat="1" applyFont="1" applyFill="1" applyBorder="1"/>
    <xf numFmtId="3" fontId="22" fillId="0" borderId="0" xfId="1" applyNumberFormat="1" applyFont="1" applyFill="1" applyBorder="1"/>
    <xf numFmtId="3" fontId="10" fillId="0" borderId="0" xfId="1" applyNumberFormat="1" applyFont="1"/>
    <xf numFmtId="3" fontId="13" fillId="0" borderId="0" xfId="0" applyNumberFormat="1" applyFont="1" applyAlignment="1">
      <alignment horizontal="center"/>
    </xf>
    <xf numFmtId="3" fontId="38" fillId="10" borderId="0" xfId="1" applyNumberFormat="1" applyFont="1" applyFill="1" applyBorder="1"/>
    <xf numFmtId="3" fontId="38" fillId="10" borderId="0" xfId="1" applyNumberFormat="1" applyFont="1" applyFill="1" applyBorder="1" applyAlignment="1">
      <alignment vertical="center"/>
    </xf>
    <xf numFmtId="3" fontId="38" fillId="0" borderId="0" xfId="1" applyNumberFormat="1" applyFont="1" applyFill="1" applyBorder="1" applyAlignment="1">
      <alignment vertical="center"/>
    </xf>
    <xf numFmtId="3" fontId="9" fillId="0" borderId="0" xfId="1" applyNumberFormat="1" applyFont="1"/>
    <xf numFmtId="3" fontId="18" fillId="0" borderId="0" xfId="1" applyNumberFormat="1" applyFont="1"/>
    <xf numFmtId="3" fontId="17" fillId="0" borderId="0" xfId="1" applyNumberFormat="1" applyFont="1"/>
    <xf numFmtId="3" fontId="5" fillId="0" borderId="0" xfId="1" applyNumberFormat="1" applyFont="1"/>
    <xf numFmtId="0" fontId="5" fillId="0" borderId="45" xfId="0" applyFont="1" applyBorder="1"/>
    <xf numFmtId="0" fontId="17" fillId="0" borderId="0" xfId="0" applyFont="1"/>
    <xf numFmtId="0" fontId="5" fillId="0" borderId="45" xfId="15" applyFont="1" applyBorder="1"/>
    <xf numFmtId="0" fontId="6" fillId="0" borderId="45" xfId="15" applyFont="1" applyBorder="1"/>
    <xf numFmtId="9" fontId="5" fillId="0" borderId="41" xfId="150" applyFont="1" applyFill="1" applyBorder="1"/>
    <xf numFmtId="0" fontId="77" fillId="0" borderId="38" xfId="0" applyFont="1" applyBorder="1" applyAlignment="1">
      <alignment horizontal="center" vertical="center" wrapText="1"/>
    </xf>
    <xf numFmtId="0" fontId="13"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2" fillId="0" borderId="35" xfId="0" applyFont="1" applyBorder="1" applyAlignment="1">
      <alignment horizontal="center" wrapText="1"/>
    </xf>
    <xf numFmtId="0" fontId="78" fillId="0" borderId="35" xfId="0" applyFont="1" applyBorder="1" applyAlignment="1">
      <alignment horizontal="center" wrapText="1"/>
    </xf>
    <xf numFmtId="0" fontId="79"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4" fillId="0" borderId="37" xfId="0" applyFont="1" applyBorder="1" applyAlignment="1">
      <alignment vertical="center" wrapText="1"/>
    </xf>
    <xf numFmtId="0" fontId="12" fillId="0" borderId="0" xfId="0" applyFont="1" applyAlignment="1">
      <alignment horizontal="left" vertical="top" wrapText="1"/>
    </xf>
    <xf numFmtId="3" fontId="52" fillId="7" borderId="50" xfId="0" applyNumberFormat="1" applyFont="1" applyFill="1" applyBorder="1"/>
    <xf numFmtId="0" fontId="58" fillId="7" borderId="39" xfId="0" applyFont="1" applyFill="1" applyBorder="1" applyAlignment="1">
      <alignment vertical="center" wrapText="1"/>
    </xf>
    <xf numFmtId="0" fontId="24" fillId="10" borderId="0" xfId="77" applyFont="1" applyFill="1" applyAlignment="1">
      <alignment horizontal="left" vertical="center"/>
    </xf>
    <xf numFmtId="0" fontId="107" fillId="10" borderId="0" xfId="13" applyFont="1" applyFill="1" applyAlignment="1">
      <alignment horizontal="right"/>
    </xf>
    <xf numFmtId="3" fontId="22" fillId="0" borderId="0" xfId="8" applyNumberFormat="1" applyFont="1" applyAlignment="1"/>
    <xf numFmtId="3" fontId="22" fillId="0" borderId="0" xfId="101" applyNumberFormat="1" applyFont="1"/>
    <xf numFmtId="3" fontId="22" fillId="0" borderId="0" xfId="0" applyNumberFormat="1" applyFont="1" applyAlignment="1">
      <alignment vertical="center"/>
    </xf>
    <xf numFmtId="167" fontId="22" fillId="0" borderId="0" xfId="1" applyNumberFormat="1" applyFont="1" applyAlignment="1">
      <alignment horizontal="right"/>
    </xf>
    <xf numFmtId="3" fontId="22" fillId="0" borderId="0" xfId="1" applyNumberFormat="1" applyFont="1" applyAlignment="1"/>
    <xf numFmtId="3" fontId="10" fillId="0" borderId="39" xfId="0" applyNumberFormat="1" applyFont="1" applyBorder="1" applyAlignment="1">
      <alignment vertical="center" wrapText="1"/>
    </xf>
    <xf numFmtId="3" fontId="22" fillId="2" borderId="0" xfId="1" applyNumberFormat="1" applyFont="1" applyFill="1" applyAlignment="1"/>
    <xf numFmtId="3" fontId="1" fillId="0" borderId="0" xfId="0" applyNumberFormat="1" applyFont="1"/>
    <xf numFmtId="3" fontId="25" fillId="7" borderId="39" xfId="8" applyNumberFormat="1" applyFont="1" applyFill="1" applyBorder="1" applyAlignment="1">
      <alignment horizontal="right"/>
    </xf>
    <xf numFmtId="3" fontId="52" fillId="2" borderId="51" xfId="0" applyNumberFormat="1" applyFont="1" applyFill="1" applyBorder="1"/>
    <xf numFmtId="167" fontId="10" fillId="0" borderId="1" xfId="1" applyNumberFormat="1" applyFont="1" applyFill="1" applyBorder="1" applyAlignment="1">
      <alignment horizontal="right"/>
    </xf>
    <xf numFmtId="0" fontId="4" fillId="0" borderId="44" xfId="0" applyFont="1" applyBorder="1" applyAlignment="1">
      <alignment horizontal="center" vertical="center"/>
    </xf>
    <xf numFmtId="167" fontId="38" fillId="10" borderId="49" xfId="1" applyNumberFormat="1" applyFont="1" applyFill="1" applyBorder="1" applyAlignment="1">
      <alignment horizontal="right"/>
    </xf>
    <xf numFmtId="0" fontId="10" fillId="0" borderId="47" xfId="0" applyFont="1" applyBorder="1"/>
    <xf numFmtId="0" fontId="10" fillId="0" borderId="43" xfId="0" applyFont="1" applyBorder="1"/>
    <xf numFmtId="0" fontId="10" fillId="2" borderId="43" xfId="0" applyFont="1" applyFill="1" applyBorder="1" applyAlignment="1">
      <alignment horizontal="center" vertical="center"/>
    </xf>
    <xf numFmtId="0" fontId="10" fillId="0" borderId="43" xfId="0" applyFont="1" applyBorder="1" applyAlignment="1">
      <alignment horizontal="right"/>
    </xf>
    <xf numFmtId="0" fontId="10" fillId="0" borderId="48" xfId="0" applyFont="1" applyBorder="1" applyAlignment="1">
      <alignment horizontal="right"/>
    </xf>
    <xf numFmtId="167" fontId="9" fillId="0" borderId="50" xfId="1" applyNumberFormat="1" applyFont="1" applyBorder="1"/>
    <xf numFmtId="0" fontId="38" fillId="10" borderId="47" xfId="0" applyFont="1" applyFill="1" applyBorder="1" applyAlignment="1">
      <alignment vertical="center"/>
    </xf>
    <xf numFmtId="0" fontId="38" fillId="10" borderId="43" xfId="0" applyFont="1" applyFill="1" applyBorder="1" applyAlignment="1">
      <alignment vertical="center"/>
    </xf>
    <xf numFmtId="0" fontId="38" fillId="10" borderId="42" xfId="0" applyFont="1" applyFill="1" applyBorder="1" applyAlignment="1">
      <alignment vertical="center"/>
    </xf>
    <xf numFmtId="0" fontId="1" fillId="7" borderId="0" xfId="0" applyFont="1" applyFill="1"/>
    <xf numFmtId="0" fontId="1" fillId="7" borderId="0" xfId="0" applyFont="1" applyFill="1" applyAlignment="1">
      <alignment horizontal="left"/>
    </xf>
    <xf numFmtId="3" fontId="1" fillId="7" borderId="0" xfId="0" applyNumberFormat="1" applyFont="1" applyFill="1" applyAlignment="1">
      <alignment horizontal="right"/>
    </xf>
    <xf numFmtId="0" fontId="1" fillId="2" borderId="0" xfId="0" applyFont="1" applyFill="1"/>
    <xf numFmtId="167" fontId="9" fillId="2" borderId="50" xfId="6" applyNumberFormat="1" applyFont="1" applyFill="1" applyBorder="1" applyAlignment="1">
      <alignment horizontal="right"/>
    </xf>
    <xf numFmtId="167" fontId="9" fillId="2" borderId="50" xfId="6" applyNumberFormat="1" applyFont="1" applyFill="1" applyBorder="1" applyAlignment="1"/>
    <xf numFmtId="3" fontId="9" fillId="2" borderId="50" xfId="6" applyNumberFormat="1" applyFont="1" applyFill="1" applyBorder="1" applyAlignment="1"/>
    <xf numFmtId="4" fontId="1" fillId="0" borderId="0" xfId="0" applyNumberFormat="1" applyFont="1" applyAlignment="1">
      <alignment horizontal="center"/>
    </xf>
    <xf numFmtId="0" fontId="1" fillId="0" borderId="0" xfId="0" applyFont="1"/>
    <xf numFmtId="0" fontId="5" fillId="2" borderId="49" xfId="15" applyFont="1" applyFill="1" applyBorder="1"/>
    <xf numFmtId="0" fontId="1" fillId="0" borderId="52" xfId="0" applyFont="1" applyBorder="1"/>
    <xf numFmtId="0" fontId="1" fillId="0" borderId="47" xfId="0" applyFont="1" applyBorder="1" applyAlignment="1">
      <alignment horizontal="center"/>
    </xf>
    <xf numFmtId="0" fontId="1" fillId="0" borderId="43" xfId="0" applyFont="1" applyBorder="1" applyAlignment="1">
      <alignment horizontal="center"/>
    </xf>
    <xf numFmtId="0" fontId="1" fillId="2" borderId="0" xfId="0" applyFont="1" applyFill="1" applyAlignment="1">
      <alignment horizontal="left"/>
    </xf>
    <xf numFmtId="3" fontId="9" fillId="2" borderId="50" xfId="1" applyNumberFormat="1" applyFont="1" applyFill="1" applyBorder="1" applyAlignment="1">
      <alignment horizontal="right"/>
    </xf>
    <xf numFmtId="169" fontId="9" fillId="2" borderId="50" xfId="1" applyNumberFormat="1" applyFont="1" applyFill="1" applyBorder="1" applyAlignment="1">
      <alignment horizontal="right"/>
    </xf>
    <xf numFmtId="169" fontId="9" fillId="2" borderId="50" xfId="1" applyNumberFormat="1" applyFont="1" applyFill="1" applyBorder="1" applyAlignment="1"/>
    <xf numFmtId="0" fontId="1" fillId="0" borderId="0" xfId="0" applyFont="1" applyAlignment="1">
      <alignment horizontal="right"/>
    </xf>
    <xf numFmtId="167" fontId="9" fillId="2" borderId="49" xfId="10" applyNumberFormat="1" applyFont="1" applyFill="1" applyBorder="1" applyAlignment="1">
      <alignment horizontal="right"/>
    </xf>
    <xf numFmtId="41" fontId="9" fillId="2" borderId="49" xfId="8" applyFont="1" applyFill="1" applyBorder="1" applyAlignment="1">
      <alignment horizontal="right"/>
    </xf>
    <xf numFmtId="3" fontId="1" fillId="0" borderId="0" xfId="0" applyNumberFormat="1" applyFont="1" applyAlignment="1">
      <alignment horizontal="right"/>
    </xf>
    <xf numFmtId="3" fontId="9" fillId="2" borderId="49" xfId="8" applyNumberFormat="1" applyFont="1" applyFill="1" applyBorder="1" applyAlignment="1">
      <alignment horizontal="right"/>
    </xf>
    <xf numFmtId="14" fontId="20" fillId="10" borderId="45" xfId="0" applyNumberFormat="1" applyFont="1" applyFill="1" applyBorder="1" applyAlignment="1">
      <alignment horizontal="right"/>
    </xf>
    <xf numFmtId="0" fontId="10" fillId="7" borderId="46" xfId="0" applyFont="1" applyFill="1" applyBorder="1" applyAlignment="1">
      <alignment vertical="center" wrapText="1"/>
    </xf>
    <xf numFmtId="0" fontId="10" fillId="7" borderId="46" xfId="0" applyFont="1" applyFill="1" applyBorder="1" applyAlignment="1">
      <alignment horizontal="center" vertical="center" wrapText="1"/>
    </xf>
    <xf numFmtId="0" fontId="10" fillId="7" borderId="45" xfId="0" applyFont="1" applyFill="1" applyBorder="1" applyAlignment="1">
      <alignment vertical="center" wrapText="1"/>
    </xf>
    <xf numFmtId="0" fontId="10" fillId="7" borderId="47" xfId="0" applyFont="1" applyFill="1" applyBorder="1" applyAlignment="1">
      <alignment wrapText="1"/>
    </xf>
    <xf numFmtId="0" fontId="10" fillId="7" borderId="45" xfId="0" applyFont="1" applyFill="1" applyBorder="1" applyAlignment="1">
      <alignment wrapText="1"/>
    </xf>
    <xf numFmtId="0" fontId="10" fillId="0" borderId="45" xfId="0" applyFont="1" applyBorder="1" applyAlignment="1">
      <alignment horizontal="left" vertical="center" wrapText="1"/>
    </xf>
    <xf numFmtId="3" fontId="10" fillId="0" borderId="45" xfId="0" applyNumberFormat="1" applyFont="1" applyBorder="1" applyAlignment="1">
      <alignment horizontal="center" vertical="center" wrapText="1"/>
    </xf>
    <xf numFmtId="3" fontId="10" fillId="0" borderId="47" xfId="0" applyNumberFormat="1" applyFont="1" applyBorder="1" applyAlignment="1">
      <alignment horizontal="right" wrapText="1"/>
    </xf>
    <xf numFmtId="3" fontId="10" fillId="0" borderId="45" xfId="0" applyNumberFormat="1" applyFont="1" applyBorder="1" applyAlignment="1">
      <alignment horizontal="right" wrapText="1"/>
    </xf>
    <xf numFmtId="0" fontId="10" fillId="0" borderId="45" xfId="0" applyFont="1" applyBorder="1" applyAlignment="1">
      <alignment horizontal="left"/>
    </xf>
    <xf numFmtId="3" fontId="10" fillId="0" borderId="47" xfId="0" applyNumberFormat="1" applyFont="1" applyBorder="1" applyAlignment="1">
      <alignment horizontal="right"/>
    </xf>
    <xf numFmtId="3" fontId="10" fillId="0" borderId="45" xfId="0" applyNumberFormat="1" applyFont="1" applyBorder="1" applyAlignment="1">
      <alignment horizontal="right"/>
    </xf>
    <xf numFmtId="3" fontId="10" fillId="7" borderId="47" xfId="0" applyNumberFormat="1" applyFont="1" applyFill="1" applyBorder="1" applyAlignment="1">
      <alignment horizontal="right"/>
    </xf>
    <xf numFmtId="0" fontId="52" fillId="7" borderId="45" xfId="0" applyFont="1" applyFill="1" applyBorder="1"/>
    <xf numFmtId="3" fontId="52" fillId="7" borderId="45" xfId="0" applyNumberFormat="1" applyFont="1" applyFill="1" applyBorder="1"/>
    <xf numFmtId="3" fontId="52" fillId="0" borderId="47" xfId="0" applyNumberFormat="1" applyFont="1" applyBorder="1"/>
    <xf numFmtId="3" fontId="10" fillId="0" borderId="47" xfId="0" applyNumberFormat="1" applyFont="1" applyBorder="1" applyAlignment="1">
      <alignment wrapText="1"/>
    </xf>
    <xf numFmtId="10" fontId="10" fillId="0" borderId="45" xfId="9" applyNumberFormat="1" applyFont="1" applyBorder="1" applyAlignment="1">
      <alignment horizontal="center" vertical="center" wrapText="1"/>
    </xf>
    <xf numFmtId="3" fontId="1" fillId="7" borderId="0" xfId="0" applyNumberFormat="1" applyFont="1" applyFill="1"/>
    <xf numFmtId="0" fontId="24" fillId="11" borderId="47" xfId="77" applyFont="1" applyFill="1" applyBorder="1" applyAlignment="1">
      <alignment horizontal="center" vertical="center"/>
    </xf>
    <xf numFmtId="0" fontId="24" fillId="11" borderId="45" xfId="77" applyFont="1" applyFill="1" applyBorder="1" applyAlignment="1">
      <alignment horizontal="center" vertical="center" wrapText="1"/>
    </xf>
    <xf numFmtId="0" fontId="24" fillId="11" borderId="43" xfId="77" applyFont="1" applyFill="1" applyBorder="1" applyAlignment="1">
      <alignment horizontal="center" vertical="center" wrapText="1"/>
    </xf>
    <xf numFmtId="3" fontId="9" fillId="6" borderId="47" xfId="77" applyNumberFormat="1" applyFont="1" applyFill="1" applyBorder="1"/>
    <xf numFmtId="3" fontId="9" fillId="6" borderId="45" xfId="78" applyNumberFormat="1" applyFont="1" applyFill="1" applyBorder="1" applyAlignment="1"/>
    <xf numFmtId="3" fontId="22" fillId="6" borderId="43" xfId="78" applyNumberFormat="1" applyFont="1" applyFill="1" applyBorder="1" applyAlignment="1"/>
    <xf numFmtId="3" fontId="9" fillId="6" borderId="43" xfId="78" applyNumberFormat="1" applyFont="1" applyFill="1" applyBorder="1" applyAlignment="1"/>
    <xf numFmtId="3" fontId="9" fillId="0" borderId="46" xfId="78" applyNumberFormat="1" applyFont="1" applyFill="1" applyBorder="1" applyAlignment="1"/>
    <xf numFmtId="3" fontId="1" fillId="0" borderId="3" xfId="0" applyNumberFormat="1" applyFont="1" applyBorder="1" applyAlignment="1">
      <alignment vertical="center"/>
    </xf>
    <xf numFmtId="3" fontId="22" fillId="0" borderId="45" xfId="78" applyNumberFormat="1" applyFont="1" applyFill="1" applyBorder="1" applyAlignment="1"/>
    <xf numFmtId="3" fontId="22" fillId="0" borderId="43" xfId="78" applyNumberFormat="1" applyFont="1" applyFill="1" applyBorder="1" applyAlignment="1"/>
    <xf numFmtId="169" fontId="22" fillId="0" borderId="45" xfId="78" applyNumberFormat="1" applyFont="1" applyFill="1" applyBorder="1" applyAlignment="1"/>
    <xf numFmtId="0" fontId="9" fillId="6" borderId="47" xfId="77" applyFont="1" applyFill="1" applyBorder="1"/>
    <xf numFmtId="169" fontId="9" fillId="6" borderId="45" xfId="78" applyNumberFormat="1" applyFont="1" applyFill="1" applyBorder="1" applyAlignment="1"/>
    <xf numFmtId="166" fontId="22" fillId="6" borderId="43" xfId="78" applyFont="1" applyFill="1" applyBorder="1" applyAlignment="1"/>
    <xf numFmtId="169" fontId="9" fillId="6" borderId="43" xfId="78" applyNumberFormat="1" applyFont="1" applyFill="1" applyBorder="1" applyAlignment="1"/>
    <xf numFmtId="1" fontId="1" fillId="7" borderId="0" xfId="0" applyNumberFormat="1" applyFont="1" applyFill="1"/>
    <xf numFmtId="169" fontId="1" fillId="7" borderId="0" xfId="0" applyNumberFormat="1" applyFont="1" applyFill="1"/>
    <xf numFmtId="41" fontId="5" fillId="0" borderId="49" xfId="8" applyFont="1" applyBorder="1" applyAlignment="1">
      <alignment vertical="top" wrapText="1"/>
    </xf>
    <xf numFmtId="41" fontId="52" fillId="0" borderId="50" xfId="8" applyFont="1" applyBorder="1" applyAlignment="1">
      <alignment horizontal="center" wrapText="1"/>
    </xf>
    <xf numFmtId="3" fontId="9" fillId="2" borderId="50" xfId="6" applyNumberFormat="1" applyFont="1" applyFill="1" applyBorder="1"/>
    <xf numFmtId="3" fontId="52" fillId="7" borderId="50" xfId="8" applyNumberFormat="1" applyFont="1" applyFill="1" applyBorder="1" applyAlignment="1">
      <alignment horizontal="right"/>
    </xf>
    <xf numFmtId="41" fontId="10" fillId="7" borderId="49" xfId="8" applyFont="1" applyFill="1" applyBorder="1"/>
    <xf numFmtId="0" fontId="10" fillId="0" borderId="49" xfId="0" applyFont="1" applyBorder="1" applyAlignment="1">
      <alignment horizontal="center"/>
    </xf>
    <xf numFmtId="0" fontId="10" fillId="0" borderId="49" xfId="0" applyFont="1" applyBorder="1"/>
    <xf numFmtId="41" fontId="1" fillId="7" borderId="49" xfId="8" applyFont="1" applyFill="1" applyBorder="1"/>
    <xf numFmtId="0" fontId="52" fillId="7" borderId="39" xfId="0" applyFont="1" applyFill="1" applyBorder="1" applyAlignment="1">
      <alignment horizontal="left" vertical="center" wrapText="1"/>
    </xf>
    <xf numFmtId="0" fontId="21" fillId="7" borderId="39" xfId="0" applyFont="1" applyFill="1" applyBorder="1" applyAlignment="1">
      <alignment horizontal="left" vertical="center"/>
    </xf>
    <xf numFmtId="3" fontId="9" fillId="7" borderId="50" xfId="8" applyNumberFormat="1" applyFont="1" applyFill="1" applyBorder="1" applyAlignment="1">
      <alignment horizontal="right"/>
    </xf>
    <xf numFmtId="3" fontId="52" fillId="7" borderId="49" xfId="8" applyNumberFormat="1" applyFont="1" applyFill="1" applyBorder="1"/>
    <xf numFmtId="0" fontId="11" fillId="2" borderId="39" xfId="12" applyFont="1" applyFill="1" applyBorder="1" applyAlignment="1">
      <alignment horizontal="left"/>
    </xf>
    <xf numFmtId="3" fontId="52" fillId="0" borderId="50" xfId="0" applyNumberFormat="1" applyFont="1" applyBorder="1" applyAlignment="1">
      <alignment horizontal="right"/>
    </xf>
    <xf numFmtId="0" fontId="52" fillId="7" borderId="39" xfId="0" applyFont="1" applyFill="1" applyBorder="1"/>
    <xf numFmtId="3" fontId="0" fillId="7" borderId="39" xfId="0" applyNumberFormat="1" applyFill="1" applyBorder="1"/>
    <xf numFmtId="3" fontId="21" fillId="7" borderId="50" xfId="0" applyNumberFormat="1" applyFont="1" applyFill="1" applyBorder="1"/>
    <xf numFmtId="3" fontId="52" fillId="2" borderId="50" xfId="8" applyNumberFormat="1" applyFont="1" applyFill="1" applyBorder="1" applyAlignment="1">
      <alignment horizontal="right"/>
    </xf>
    <xf numFmtId="3" fontId="9" fillId="0" borderId="50" xfId="0" applyNumberFormat="1" applyFont="1" applyBorder="1"/>
    <xf numFmtId="3" fontId="52" fillId="0" borderId="50" xfId="0" applyNumberFormat="1" applyFont="1" applyBorder="1"/>
    <xf numFmtId="3" fontId="9" fillId="2" borderId="50" xfId="0" applyNumberFormat="1" applyFont="1" applyFill="1" applyBorder="1"/>
    <xf numFmtId="3" fontId="9" fillId="2" borderId="50" xfId="0" applyNumberFormat="1" applyFont="1" applyFill="1" applyBorder="1" applyAlignment="1">
      <alignment horizontal="right"/>
    </xf>
    <xf numFmtId="0" fontId="58" fillId="7" borderId="39" xfId="0" applyFont="1" applyFill="1" applyBorder="1"/>
    <xf numFmtId="3" fontId="58" fillId="7" borderId="50" xfId="9" applyNumberFormat="1" applyFont="1" applyFill="1" applyBorder="1" applyAlignment="1">
      <alignment horizontal="right"/>
    </xf>
    <xf numFmtId="3" fontId="58" fillId="7" borderId="50" xfId="0" applyNumberFormat="1" applyFont="1" applyFill="1" applyBorder="1" applyAlignment="1">
      <alignment horizontal="right"/>
    </xf>
    <xf numFmtId="3" fontId="58" fillId="7" borderId="49" xfId="8" applyNumberFormat="1" applyFont="1" applyFill="1" applyBorder="1" applyAlignment="1">
      <alignment horizontal="right"/>
    </xf>
    <xf numFmtId="3" fontId="58" fillId="7" borderId="50" xfId="8" applyNumberFormat="1" applyFont="1" applyFill="1" applyBorder="1" applyAlignment="1">
      <alignment horizontal="right"/>
    </xf>
    <xf numFmtId="3" fontId="52" fillId="2" borderId="50" xfId="0" applyNumberFormat="1" applyFont="1" applyFill="1" applyBorder="1" applyAlignment="1">
      <alignment horizontal="right"/>
    </xf>
    <xf numFmtId="3" fontId="52" fillId="2" borderId="50" xfId="0" applyNumberFormat="1" applyFont="1" applyFill="1" applyBorder="1"/>
    <xf numFmtId="41" fontId="52" fillId="7" borderId="50" xfId="0" applyNumberFormat="1" applyFont="1" applyFill="1" applyBorder="1"/>
    <xf numFmtId="41" fontId="8" fillId="7" borderId="49" xfId="8" applyFont="1" applyFill="1" applyBorder="1" applyAlignment="1">
      <alignment horizontal="right"/>
    </xf>
    <xf numFmtId="41" fontId="8" fillId="7" borderId="49" xfId="8" applyFont="1" applyFill="1" applyBorder="1"/>
    <xf numFmtId="0" fontId="71" fillId="0" borderId="45" xfId="0" applyFont="1" applyBorder="1" applyAlignment="1">
      <alignment horizontal="justify" vertical="center" wrapText="1"/>
    </xf>
    <xf numFmtId="0" fontId="10" fillId="0" borderId="45" xfId="0" applyFont="1" applyBorder="1" applyAlignment="1">
      <alignment horizontal="justify" vertical="center" wrapText="1"/>
    </xf>
    <xf numFmtId="0" fontId="71" fillId="0" borderId="45" xfId="0" applyFont="1" applyBorder="1" applyAlignment="1">
      <alignment horizontal="center" vertical="center" wrapText="1"/>
    </xf>
    <xf numFmtId="0" fontId="71" fillId="0" borderId="45" xfId="0" applyFont="1" applyBorder="1" applyAlignment="1">
      <alignment horizontal="right" vertical="center" wrapText="1"/>
    </xf>
    <xf numFmtId="0" fontId="38" fillId="10" borderId="45" xfId="0" applyFont="1" applyFill="1" applyBorder="1" applyAlignment="1">
      <alignment horizontal="justify" vertical="center" wrapText="1"/>
    </xf>
    <xf numFmtId="0" fontId="72" fillId="10" borderId="45" xfId="0" applyFont="1" applyFill="1" applyBorder="1" applyAlignment="1">
      <alignment horizontal="right" vertical="center" wrapText="1"/>
    </xf>
    <xf numFmtId="0" fontId="72" fillId="10" borderId="45" xfId="0" applyFont="1" applyFill="1" applyBorder="1" applyAlignment="1">
      <alignment horizontal="center" vertical="center" wrapText="1"/>
    </xf>
    <xf numFmtId="3" fontId="108" fillId="0" borderId="0" xfId="3" quotePrefix="1" applyNumberFormat="1" applyFont="1" applyAlignment="1">
      <alignment horizontal="right"/>
    </xf>
    <xf numFmtId="3" fontId="38" fillId="2" borderId="0" xfId="1" applyNumberFormat="1" applyFont="1" applyFill="1" applyBorder="1" applyAlignment="1">
      <alignment horizontal="right"/>
    </xf>
    <xf numFmtId="169" fontId="16" fillId="2" borderId="0" xfId="1" applyNumberFormat="1" applyFont="1" applyFill="1" applyBorder="1"/>
    <xf numFmtId="0" fontId="106" fillId="0" borderId="0" xfId="0" applyFont="1"/>
    <xf numFmtId="3" fontId="25" fillId="0" borderId="39" xfId="9" applyNumberFormat="1" applyFont="1" applyFill="1" applyBorder="1" applyAlignment="1">
      <alignment horizontal="right"/>
    </xf>
    <xf numFmtId="3" fontId="25" fillId="0" borderId="45" xfId="0" applyNumberFormat="1" applyFont="1" applyBorder="1" applyAlignment="1">
      <alignment horizontal="right"/>
    </xf>
    <xf numFmtId="3" fontId="58" fillId="0" borderId="0" xfId="0" applyNumberFormat="1" applyFont="1" applyAlignment="1">
      <alignment horizontal="center"/>
    </xf>
    <xf numFmtId="3" fontId="10" fillId="0" borderId="0" xfId="0" applyNumberFormat="1" applyFont="1" applyFill="1"/>
    <xf numFmtId="3" fontId="10" fillId="0" borderId="3" xfId="0" applyNumberFormat="1" applyFont="1" applyFill="1" applyBorder="1" applyAlignment="1">
      <alignment horizontal="right" vertical="center"/>
    </xf>
    <xf numFmtId="14" fontId="38" fillId="0" borderId="3" xfId="0" applyNumberFormat="1" applyFont="1" applyFill="1" applyBorder="1" applyAlignment="1">
      <alignment horizontal="center" vertical="center"/>
    </xf>
    <xf numFmtId="3" fontId="102" fillId="0" borderId="3" xfId="0" applyNumberFormat="1" applyFont="1" applyFill="1" applyBorder="1" applyAlignment="1">
      <alignment horizontal="right"/>
    </xf>
    <xf numFmtId="3" fontId="10" fillId="0" borderId="3" xfId="0" applyNumberFormat="1" applyFont="1" applyFill="1" applyBorder="1"/>
    <xf numFmtId="3" fontId="22" fillId="0" borderId="3" xfId="0" applyNumberFormat="1" applyFont="1" applyFill="1" applyBorder="1" applyAlignment="1">
      <alignment vertical="center"/>
    </xf>
    <xf numFmtId="3" fontId="10" fillId="0" borderId="3" xfId="0" applyNumberFormat="1" applyFont="1" applyFill="1" applyBorder="1" applyAlignment="1">
      <alignment horizontal="right" wrapText="1"/>
    </xf>
    <xf numFmtId="3" fontId="50" fillId="0" borderId="3" xfId="0" applyNumberFormat="1" applyFont="1" applyFill="1" applyBorder="1" applyAlignment="1">
      <alignment horizontal="right" vertical="center"/>
    </xf>
    <xf numFmtId="0" fontId="10" fillId="0" borderId="0" xfId="0" applyFont="1"/>
    <xf numFmtId="0" fontId="52"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22" fillId="0" borderId="0" xfId="0" applyFont="1"/>
    <xf numFmtId="167" fontId="52" fillId="0" borderId="0" xfId="1" applyNumberFormat="1" applyFont="1" applyFill="1" applyAlignment="1">
      <alignment horizontal="center"/>
    </xf>
    <xf numFmtId="0" fontId="9" fillId="0" borderId="0" xfId="0" applyFont="1" applyAlignment="1">
      <alignment horizontal="left" vertical="center"/>
    </xf>
    <xf numFmtId="0" fontId="38" fillId="10" borderId="0" xfId="0" applyFont="1" applyFill="1" applyAlignment="1">
      <alignment horizontal="left" vertical="center"/>
    </xf>
    <xf numFmtId="167" fontId="10" fillId="0" borderId="0" xfId="1" applyNumberFormat="1" applyFont="1" applyFill="1" applyAlignment="1">
      <alignment horizontal="center"/>
    </xf>
    <xf numFmtId="0" fontId="38" fillId="10" borderId="0" xfId="0" applyFont="1" applyFill="1" applyAlignment="1">
      <alignment horizontal="left"/>
    </xf>
    <xf numFmtId="167" fontId="38" fillId="10" borderId="0" xfId="1" applyNumberFormat="1" applyFont="1" applyFill="1" applyAlignment="1">
      <alignment horizontal="center" vertical="center" wrapText="1"/>
    </xf>
    <xf numFmtId="167" fontId="38" fillId="10" borderId="39" xfId="1" applyNumberFormat="1" applyFont="1" applyFill="1" applyBorder="1" applyAlignment="1">
      <alignment horizontal="center" vertical="center" wrapText="1"/>
    </xf>
    <xf numFmtId="0" fontId="20" fillId="10" borderId="0" xfId="0" applyFont="1" applyFill="1" applyAlignment="1">
      <alignment horizontal="left"/>
    </xf>
    <xf numFmtId="167" fontId="20" fillId="0" borderId="0" xfId="1" applyNumberFormat="1" applyFont="1" applyFill="1" applyBorder="1" applyAlignment="1">
      <alignment horizontal="center" vertical="center" wrapText="1"/>
    </xf>
    <xf numFmtId="167" fontId="38" fillId="10" borderId="0" xfId="1" applyNumberFormat="1" applyFont="1" applyFill="1" applyBorder="1" applyAlignment="1">
      <alignment horizontal="center" vertical="center" wrapText="1"/>
    </xf>
    <xf numFmtId="3" fontId="38" fillId="10" borderId="0" xfId="1" applyNumberFormat="1" applyFont="1" applyFill="1" applyAlignment="1">
      <alignment horizontal="center" vertical="center" wrapText="1"/>
    </xf>
    <xf numFmtId="3" fontId="38" fillId="10" borderId="39" xfId="1" applyNumberFormat="1" applyFont="1" applyFill="1" applyBorder="1" applyAlignment="1">
      <alignment horizontal="center" vertical="center" wrapText="1"/>
    </xf>
    <xf numFmtId="0" fontId="38" fillId="0" borderId="0" xfId="0" applyFont="1" applyAlignment="1">
      <alignment horizontal="center" vertical="center" wrapText="1"/>
    </xf>
    <xf numFmtId="0" fontId="10" fillId="0" borderId="0" xfId="0" applyFont="1" applyAlignment="1">
      <alignment horizontal="center"/>
    </xf>
    <xf numFmtId="0" fontId="38" fillId="10" borderId="0" xfId="0" applyFont="1" applyFill="1" applyAlignment="1">
      <alignment horizontal="center" vertical="center" wrapText="1"/>
    </xf>
    <xf numFmtId="0" fontId="11" fillId="0" borderId="0" xfId="0" applyFont="1" applyAlignment="1">
      <alignment horizontal="center"/>
    </xf>
    <xf numFmtId="0" fontId="19"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5" fillId="3" borderId="0" xfId="0" applyFont="1" applyFill="1" applyAlignment="1">
      <alignment horizontal="center"/>
    </xf>
    <xf numFmtId="0" fontId="6" fillId="0" borderId="0" xfId="0" applyFont="1" applyAlignment="1">
      <alignment horizontal="center"/>
    </xf>
    <xf numFmtId="0" fontId="4" fillId="2" borderId="0" xfId="0" applyFont="1" applyFill="1" applyAlignment="1">
      <alignment horizontal="left" vertical="center"/>
    </xf>
    <xf numFmtId="0" fontId="10" fillId="0" borderId="0" xfId="0" applyFont="1" applyAlignment="1">
      <alignment horizontal="left" vertical="justify" wrapText="1"/>
    </xf>
    <xf numFmtId="0" fontId="52" fillId="0" borderId="0" xfId="0" applyFont="1" applyAlignment="1">
      <alignment horizontal="left" vertical="justify" wrapText="1"/>
    </xf>
    <xf numFmtId="0" fontId="10" fillId="0" borderId="0" xfId="0" applyFont="1" applyAlignment="1">
      <alignment horizontal="justify" vertical="justify" wrapText="1"/>
    </xf>
    <xf numFmtId="0" fontId="22" fillId="0" borderId="0" xfId="0" applyFont="1" applyAlignment="1">
      <alignment horizontal="left" vertical="justify" wrapText="1"/>
    </xf>
    <xf numFmtId="0" fontId="10" fillId="0" borderId="0" xfId="0" applyFont="1" applyAlignment="1">
      <alignment horizontal="left" vertical="top" wrapText="1"/>
    </xf>
    <xf numFmtId="0" fontId="25" fillId="0" borderId="0" xfId="0" applyFont="1" applyAlignment="1">
      <alignment horizontal="left" vertical="center" wrapText="1"/>
    </xf>
    <xf numFmtId="0" fontId="9" fillId="0" borderId="0" xfId="0" applyFont="1" applyAlignment="1">
      <alignment horizontal="left" vertical="justify" wrapText="1"/>
    </xf>
    <xf numFmtId="0" fontId="25" fillId="0" borderId="0" xfId="0" applyFont="1" applyAlignment="1">
      <alignment horizontal="left" vertical="top" wrapText="1"/>
    </xf>
    <xf numFmtId="0" fontId="10" fillId="0" borderId="0" xfId="0" applyFont="1" applyAlignment="1">
      <alignment horizontal="justify" vertical="justify"/>
    </xf>
    <xf numFmtId="0" fontId="25" fillId="0" borderId="0" xfId="0" applyFont="1" applyAlignment="1">
      <alignment horizontal="justify" vertical="top" wrapText="1"/>
    </xf>
    <xf numFmtId="0" fontId="10" fillId="0" borderId="0" xfId="0" applyFont="1" applyAlignment="1">
      <alignment horizontal="left" wrapText="1"/>
    </xf>
    <xf numFmtId="0" fontId="10" fillId="2" borderId="0" xfId="0" applyFont="1" applyFill="1" applyAlignment="1">
      <alignment horizontal="center"/>
    </xf>
    <xf numFmtId="0" fontId="10" fillId="2" borderId="0" xfId="0" applyFont="1" applyFill="1" applyAlignment="1">
      <alignment horizontal="left"/>
    </xf>
    <xf numFmtId="168" fontId="10" fillId="0" borderId="0" xfId="0" applyNumberFormat="1" applyFont="1" applyAlignment="1">
      <alignment horizontal="center"/>
    </xf>
    <xf numFmtId="0" fontId="24" fillId="11" borderId="42" xfId="77" applyFont="1" applyFill="1" applyBorder="1" applyAlignment="1">
      <alignment horizontal="left" vertical="center"/>
    </xf>
    <xf numFmtId="0" fontId="24" fillId="11" borderId="49" xfId="77" applyFont="1" applyFill="1" applyBorder="1" applyAlignment="1">
      <alignment horizontal="left" vertical="center"/>
    </xf>
    <xf numFmtId="0" fontId="24" fillId="11" borderId="44" xfId="77" applyFont="1" applyFill="1" applyBorder="1" applyAlignment="1">
      <alignment horizontal="left" vertical="center"/>
    </xf>
    <xf numFmtId="3" fontId="9" fillId="0" borderId="0" xfId="0" applyNumberFormat="1" applyFont="1" applyAlignment="1">
      <alignment horizontal="center"/>
    </xf>
    <xf numFmtId="0" fontId="24" fillId="0" borderId="0" xfId="77" applyFont="1" applyAlignment="1">
      <alignment horizontal="left" vertical="center"/>
    </xf>
    <xf numFmtId="0" fontId="4" fillId="0" borderId="0" xfId="0" applyFont="1" applyAlignment="1">
      <alignment horizontal="left"/>
    </xf>
    <xf numFmtId="0" fontId="52" fillId="2" borderId="0" xfId="0" applyFont="1" applyFill="1" applyAlignment="1">
      <alignment horizontal="left"/>
    </xf>
    <xf numFmtId="0" fontId="32" fillId="2" borderId="0" xfId="0" applyFont="1" applyFill="1" applyAlignment="1">
      <alignment horizontal="center"/>
    </xf>
    <xf numFmtId="0" fontId="32" fillId="2" borderId="0" xfId="0" applyFont="1" applyFill="1" applyAlignment="1">
      <alignment horizontal="left"/>
    </xf>
    <xf numFmtId="0" fontId="0" fillId="0" borderId="0" xfId="0" applyAlignment="1">
      <alignment horizontal="center"/>
    </xf>
    <xf numFmtId="0" fontId="9" fillId="0" borderId="25" xfId="0" applyFont="1" applyBorder="1" applyAlignment="1">
      <alignment horizontal="center" vertical="center" wrapText="1"/>
    </xf>
    <xf numFmtId="0" fontId="22" fillId="0" borderId="24" xfId="0" applyFont="1" applyBorder="1" applyAlignment="1">
      <alignment horizontal="center" vertical="center" wrapText="1"/>
    </xf>
    <xf numFmtId="9" fontId="25" fillId="7" borderId="0" xfId="9" applyFont="1" applyFill="1" applyBorder="1" applyAlignment="1">
      <alignment horizontal="center"/>
    </xf>
    <xf numFmtId="9" fontId="25" fillId="7" borderId="0" xfId="9" applyFont="1" applyFill="1" applyBorder="1" applyAlignment="1">
      <alignment horizontal="left"/>
    </xf>
    <xf numFmtId="9" fontId="8" fillId="7" borderId="0" xfId="9" applyFont="1" applyFill="1" applyBorder="1" applyAlignment="1">
      <alignment horizontal="center"/>
    </xf>
    <xf numFmtId="9" fontId="25" fillId="7" borderId="0" xfId="9" applyFont="1" applyFill="1" applyBorder="1" applyAlignment="1">
      <alignment horizontal="right"/>
    </xf>
    <xf numFmtId="0" fontId="58" fillId="7" borderId="0" xfId="0" applyFont="1" applyFill="1" applyAlignment="1">
      <alignment horizontal="left"/>
    </xf>
    <xf numFmtId="0" fontId="6" fillId="0" borderId="0" xfId="0" applyFont="1" applyAlignment="1">
      <alignment horizontal="justify" vertical="justify" wrapText="1"/>
    </xf>
    <xf numFmtId="0" fontId="6" fillId="0" borderId="0" xfId="0" applyFont="1" applyAlignment="1">
      <alignment horizontal="left" wrapText="1"/>
    </xf>
    <xf numFmtId="0" fontId="22" fillId="7" borderId="0" xfId="0" applyFont="1" applyFill="1" applyAlignment="1">
      <alignment horizontal="left"/>
    </xf>
    <xf numFmtId="0" fontId="22" fillId="0" borderId="0" xfId="0" applyFont="1" applyAlignment="1">
      <alignment horizontal="left" vertical="center" wrapText="1"/>
    </xf>
    <xf numFmtId="0" fontId="22" fillId="7" borderId="0" xfId="0" applyFont="1" applyFill="1" applyAlignment="1">
      <alignment horizontal="left" wrapText="1"/>
    </xf>
    <xf numFmtId="0" fontId="22" fillId="7" borderId="0" xfId="0" applyFont="1" applyFill="1" applyAlignment="1">
      <alignment horizontal="left" vertical="center" wrapText="1"/>
    </xf>
    <xf numFmtId="0" fontId="10" fillId="0" borderId="0" xfId="0" applyFont="1" applyAlignment="1">
      <alignment horizontal="left" vertical="center" wrapText="1"/>
    </xf>
    <xf numFmtId="0" fontId="10" fillId="7" borderId="0" xfId="0" applyFont="1" applyFill="1" applyAlignment="1">
      <alignment horizontal="left" vertical="center" wrapText="1"/>
    </xf>
    <xf numFmtId="0" fontId="29" fillId="7" borderId="0" xfId="0" applyFont="1" applyFill="1" applyAlignment="1">
      <alignment horizontal="left" wrapText="1"/>
    </xf>
    <xf numFmtId="0" fontId="61" fillId="0" borderId="0" xfId="0" applyFont="1" applyAlignment="1">
      <alignment horizontal="left" wrapText="1"/>
    </xf>
  </cellXfs>
  <cellStyles count="151">
    <cellStyle name="          _x000d__x000a_386grabber=VGA.3GR_x000d__x000a_ 3" xfId="139" xr:uid="{00000000-0005-0000-0000-000000000000}"/>
    <cellStyle name="Comma 4 2" xfId="74" xr:uid="{00000000-0005-0000-0000-000001000000}"/>
    <cellStyle name="Comma 4 2 2" xfId="92" xr:uid="{00000000-0005-0000-0000-000002000000}"/>
    <cellStyle name="Comma 4 2 2 2" xfId="123" xr:uid="{00000000-0005-0000-0000-000003000000}"/>
    <cellStyle name="Comma 4 2 3" xfId="111" xr:uid="{00000000-0005-0000-0000-000004000000}"/>
    <cellStyle name="Excel Built-in Normal" xfId="100" xr:uid="{00000000-0005-0000-0000-000005000000}"/>
    <cellStyle name="Hipervínculo" xfId="13" builtinId="8"/>
    <cellStyle name="Hipervínculo 2" xfId="140" xr:uid="{00000000-0005-0000-0000-000007000000}"/>
    <cellStyle name="Millares" xfId="1" builtinId="3"/>
    <cellStyle name="Millares [0]" xfId="8" builtinId="6"/>
    <cellStyle name="Millares [0] 2" xfId="119" xr:uid="{00000000-0005-0000-0000-00000A000000}"/>
    <cellStyle name="Millares [0] 3" xfId="81" xr:uid="{00000000-0005-0000-0000-00000B000000}"/>
    <cellStyle name="Millares [0] 3 2" xfId="95" xr:uid="{00000000-0005-0000-0000-00000C000000}"/>
    <cellStyle name="Millares [0] 3 3" xfId="103" xr:uid="{00000000-0005-0000-0000-00000D000000}"/>
    <cellStyle name="Millares [0] 3 4" xfId="105" xr:uid="{00000000-0005-0000-0000-00000E000000}"/>
    <cellStyle name="Millares [0] 3 5" xfId="149" xr:uid="{00000000-0005-0000-0000-00000F000000}"/>
    <cellStyle name="Millares [0] 4" xfId="141" xr:uid="{00000000-0005-0000-0000-000010000000}"/>
    <cellStyle name="Millares [0] 5" xfId="108" xr:uid="{00000000-0005-0000-0000-000011000000}"/>
    <cellStyle name="Millares [0] 5 2" xfId="138" xr:uid="{00000000-0005-0000-0000-000012000000}"/>
    <cellStyle name="Millares [0] 8" xfId="146" xr:uid="{00000000-0005-0000-0000-000013000000}"/>
    <cellStyle name="Millares 100 11" xfId="11" xr:uid="{00000000-0005-0000-0000-000014000000}"/>
    <cellStyle name="Millares 100 11 2" xfId="91" xr:uid="{00000000-0005-0000-0000-000015000000}"/>
    <cellStyle name="Millares 100 11 2 2" xfId="121" xr:uid="{00000000-0005-0000-0000-000016000000}"/>
    <cellStyle name="Millares 100 11 3" xfId="110" xr:uid="{00000000-0005-0000-0000-000017000000}"/>
    <cellStyle name="Millares 17" xfId="142" xr:uid="{00000000-0005-0000-0000-000018000000}"/>
    <cellStyle name="Millares 174 2" xfId="86" xr:uid="{00000000-0005-0000-0000-000019000000}"/>
    <cellStyle name="Millares 174 2 2" xfId="98" xr:uid="{00000000-0005-0000-0000-00001A000000}"/>
    <cellStyle name="Millares 174 2 2 2" xfId="127" xr:uid="{00000000-0005-0000-0000-00001B000000}"/>
    <cellStyle name="Millares 174 2 3" xfId="115" xr:uid="{00000000-0005-0000-0000-00001C000000}"/>
    <cellStyle name="Millares 18" xfId="147" xr:uid="{00000000-0005-0000-0000-00001D000000}"/>
    <cellStyle name="Millares 2" xfId="6" xr:uid="{00000000-0005-0000-0000-00001E000000}"/>
    <cellStyle name="Millares 2 2" xfId="85" xr:uid="{00000000-0005-0000-0000-00001F000000}"/>
    <cellStyle name="Millares 2 2 2" xfId="97" xr:uid="{00000000-0005-0000-0000-000020000000}"/>
    <cellStyle name="Millares 2 2 2 2" xfId="126" xr:uid="{00000000-0005-0000-0000-000021000000}"/>
    <cellStyle name="Millares 2 2 3" xfId="114" xr:uid="{00000000-0005-0000-0000-000022000000}"/>
    <cellStyle name="Millares 2 3" xfId="90" xr:uid="{00000000-0005-0000-0000-000023000000}"/>
    <cellStyle name="Millares 2 3 2" xfId="118" xr:uid="{00000000-0005-0000-0000-000024000000}"/>
    <cellStyle name="Millares 2 4" xfId="143" xr:uid="{00000000-0005-0000-0000-000025000000}"/>
    <cellStyle name="Millares 2 5" xfId="107" xr:uid="{00000000-0005-0000-0000-000026000000}"/>
    <cellStyle name="Millares 212" xfId="10" xr:uid="{00000000-0005-0000-0000-000027000000}"/>
    <cellStyle name="Millares 212 2" xfId="120" xr:uid="{00000000-0005-0000-0000-000028000000}"/>
    <cellStyle name="Millares 212 3" xfId="109" xr:uid="{00000000-0005-0000-0000-000029000000}"/>
    <cellStyle name="Millares 3" xfId="117" xr:uid="{00000000-0005-0000-0000-00002A000000}"/>
    <cellStyle name="Millares 3 11" xfId="78" xr:uid="{00000000-0005-0000-0000-00002B000000}"/>
    <cellStyle name="Millares 3 11 2" xfId="93" xr:uid="{00000000-0005-0000-0000-00002C000000}"/>
    <cellStyle name="Millares 3 11 2 2" xfId="124" xr:uid="{00000000-0005-0000-0000-00002D000000}"/>
    <cellStyle name="Millares 3 11 3" xfId="112" xr:uid="{00000000-0005-0000-0000-00002E000000}"/>
    <cellStyle name="Millares 4" xfId="122" xr:uid="{00000000-0005-0000-0000-00002F000000}"/>
    <cellStyle name="Millares 5" xfId="106" xr:uid="{00000000-0005-0000-0000-000030000000}"/>
    <cellStyle name="Millares 654 2 2" xfId="79" xr:uid="{00000000-0005-0000-0000-000031000000}"/>
    <cellStyle name="Millares 654 2 2 2" xfId="94" xr:uid="{00000000-0005-0000-0000-000032000000}"/>
    <cellStyle name="Millares 654 2 2 3" xfId="102" xr:uid="{00000000-0005-0000-0000-000033000000}"/>
    <cellStyle name="Millares 654 2 2 4" xfId="104" xr:uid="{00000000-0005-0000-0000-000034000000}"/>
    <cellStyle name="Millares 654 2 2 5" xfId="148" xr:uid="{00000000-0005-0000-0000-000035000000}"/>
    <cellStyle name="Millares 656" xfId="89" xr:uid="{00000000-0005-0000-0000-000036000000}"/>
    <cellStyle name="Millares 656 2" xfId="99" xr:uid="{00000000-0005-0000-0000-000037000000}"/>
    <cellStyle name="Millares 656 2 2" xfId="128" xr:uid="{00000000-0005-0000-0000-000038000000}"/>
    <cellStyle name="Millares 656 3" xfId="116" xr:uid="{00000000-0005-0000-0000-000039000000}"/>
    <cellStyle name="Millares 657" xfId="82" xr:uid="{00000000-0005-0000-0000-00003A000000}"/>
    <cellStyle name="Millares 657 2" xfId="96" xr:uid="{00000000-0005-0000-0000-00003B000000}"/>
    <cellStyle name="Millares 657 2 2" xfId="125" xr:uid="{00000000-0005-0000-0000-00003C000000}"/>
    <cellStyle name="Millares 657 3" xfId="113" xr:uid="{00000000-0005-0000-0000-00003D000000}"/>
    <cellStyle name="Normal" xfId="0" builtinId="0"/>
    <cellStyle name="Normal 10 10 2 2 2" xfId="77" xr:uid="{00000000-0005-0000-0000-00003F000000}"/>
    <cellStyle name="Normal 1016" xfId="15" xr:uid="{00000000-0005-0000-0000-000040000000}"/>
    <cellStyle name="Normal 1018" xfId="45" xr:uid="{00000000-0005-0000-0000-000041000000}"/>
    <cellStyle name="Normal 1022" xfId="69" xr:uid="{00000000-0005-0000-0000-000042000000}"/>
    <cellStyle name="Normal 1024" xfId="22" xr:uid="{00000000-0005-0000-0000-000043000000}"/>
    <cellStyle name="Normal 1025" xfId="72" xr:uid="{00000000-0005-0000-0000-000044000000}"/>
    <cellStyle name="Normal 1026" xfId="71" xr:uid="{00000000-0005-0000-0000-000045000000}"/>
    <cellStyle name="Normal 1027" xfId="73" xr:uid="{00000000-0005-0000-0000-000046000000}"/>
    <cellStyle name="Normal 105" xfId="83" xr:uid="{00000000-0005-0000-0000-000047000000}"/>
    <cellStyle name="Normal 107" xfId="87" xr:uid="{00000000-0005-0000-0000-000048000000}"/>
    <cellStyle name="Normal 109" xfId="88" xr:uid="{00000000-0005-0000-0000-000049000000}"/>
    <cellStyle name="Normal 11" xfId="144" xr:uid="{00000000-0005-0000-0000-00004A000000}"/>
    <cellStyle name="Normal 12 10" xfId="7" xr:uid="{00000000-0005-0000-0000-00004B000000}"/>
    <cellStyle name="Normal 12 2 10" xfId="3" xr:uid="{00000000-0005-0000-0000-00004C000000}"/>
    <cellStyle name="Normal 12 2 2 4" xfId="12" xr:uid="{00000000-0005-0000-0000-00004D000000}"/>
    <cellStyle name="Normal 125" xfId="5" xr:uid="{00000000-0005-0000-0000-00004E000000}"/>
    <cellStyle name="Normal 126" xfId="75" xr:uid="{00000000-0005-0000-0000-00004F000000}"/>
    <cellStyle name="Normal 13" xfId="136" xr:uid="{00000000-0005-0000-0000-000050000000}"/>
    <cellStyle name="Normal 199 2 2" xfId="80" xr:uid="{00000000-0005-0000-0000-000051000000}"/>
    <cellStyle name="Normal 2" xfId="2" xr:uid="{00000000-0005-0000-0000-000052000000}"/>
    <cellStyle name="Normal 2 10 2 2 2" xfId="84" xr:uid="{00000000-0005-0000-0000-000053000000}"/>
    <cellStyle name="Normal 2 2" xfId="135" xr:uid="{00000000-0005-0000-0000-000054000000}"/>
    <cellStyle name="Normal 2 2 2 3" xfId="4" xr:uid="{00000000-0005-0000-0000-000055000000}"/>
    <cellStyle name="Normal 25" xfId="130" xr:uid="{00000000-0005-0000-0000-000056000000}"/>
    <cellStyle name="Normal 3" xfId="129" xr:uid="{00000000-0005-0000-0000-000057000000}"/>
    <cellStyle name="Normal 6 4" xfId="137" xr:uid="{00000000-0005-0000-0000-000058000000}"/>
    <cellStyle name="Normal 601" xfId="64" xr:uid="{00000000-0005-0000-0000-000059000000}"/>
    <cellStyle name="Normal 605" xfId="20" xr:uid="{00000000-0005-0000-0000-00005A000000}"/>
    <cellStyle name="Normal 606" xfId="19" xr:uid="{00000000-0005-0000-0000-00005B000000}"/>
    <cellStyle name="Normal 636" xfId="17" xr:uid="{00000000-0005-0000-0000-00005C000000}"/>
    <cellStyle name="Normal 640" xfId="18" xr:uid="{00000000-0005-0000-0000-00005D000000}"/>
    <cellStyle name="Normal 643" xfId="21" xr:uid="{00000000-0005-0000-0000-00005E000000}"/>
    <cellStyle name="Normal 646" xfId="23" xr:uid="{00000000-0005-0000-0000-00005F000000}"/>
    <cellStyle name="Normal 647" xfId="24" xr:uid="{00000000-0005-0000-0000-000060000000}"/>
    <cellStyle name="Normal 649" xfId="25" xr:uid="{00000000-0005-0000-0000-000061000000}"/>
    <cellStyle name="Normal 650" xfId="26" xr:uid="{00000000-0005-0000-0000-000062000000}"/>
    <cellStyle name="Normal 651" xfId="27" xr:uid="{00000000-0005-0000-0000-000063000000}"/>
    <cellStyle name="Normal 652" xfId="28" xr:uid="{00000000-0005-0000-0000-000064000000}"/>
    <cellStyle name="Normal 653" xfId="29" xr:uid="{00000000-0005-0000-0000-000065000000}"/>
    <cellStyle name="Normal 654" xfId="30" xr:uid="{00000000-0005-0000-0000-000066000000}"/>
    <cellStyle name="Normal 655" xfId="31" xr:uid="{00000000-0005-0000-0000-000067000000}"/>
    <cellStyle name="Normal 656" xfId="32" xr:uid="{00000000-0005-0000-0000-000068000000}"/>
    <cellStyle name="Normal 657" xfId="33" xr:uid="{00000000-0005-0000-0000-000069000000}"/>
    <cellStyle name="Normal 658" xfId="35" xr:uid="{00000000-0005-0000-0000-00006A000000}"/>
    <cellStyle name="Normal 659" xfId="36" xr:uid="{00000000-0005-0000-0000-00006B000000}"/>
    <cellStyle name="Normal 660" xfId="38" xr:uid="{00000000-0005-0000-0000-00006C000000}"/>
    <cellStyle name="Normal 662" xfId="39" xr:uid="{00000000-0005-0000-0000-00006D000000}"/>
    <cellStyle name="Normal 663" xfId="40" xr:uid="{00000000-0005-0000-0000-00006E000000}"/>
    <cellStyle name="Normal 664" xfId="41" xr:uid="{00000000-0005-0000-0000-00006F000000}"/>
    <cellStyle name="Normal 665" xfId="42" xr:uid="{00000000-0005-0000-0000-000070000000}"/>
    <cellStyle name="Normal 667" xfId="43" xr:uid="{00000000-0005-0000-0000-000071000000}"/>
    <cellStyle name="Normal 673" xfId="46" xr:uid="{00000000-0005-0000-0000-000072000000}"/>
    <cellStyle name="Normal 674" xfId="47" xr:uid="{00000000-0005-0000-0000-000073000000}"/>
    <cellStyle name="Normal 675" xfId="48" xr:uid="{00000000-0005-0000-0000-000074000000}"/>
    <cellStyle name="Normal 676" xfId="49" xr:uid="{00000000-0005-0000-0000-000075000000}"/>
    <cellStyle name="Normal 677" xfId="53" xr:uid="{00000000-0005-0000-0000-000076000000}"/>
    <cellStyle name="Normal 678" xfId="54" xr:uid="{00000000-0005-0000-0000-000077000000}"/>
    <cellStyle name="Normal 679" xfId="55" xr:uid="{00000000-0005-0000-0000-000078000000}"/>
    <cellStyle name="Normal 684" xfId="60" xr:uid="{00000000-0005-0000-0000-000079000000}"/>
    <cellStyle name="Normal 713" xfId="50" xr:uid="{00000000-0005-0000-0000-00007A000000}"/>
    <cellStyle name="Normal 714" xfId="51" xr:uid="{00000000-0005-0000-0000-00007B000000}"/>
    <cellStyle name="Normal 715" xfId="52" xr:uid="{00000000-0005-0000-0000-00007C000000}"/>
    <cellStyle name="Normal 744" xfId="70" xr:uid="{00000000-0005-0000-0000-00007D000000}"/>
    <cellStyle name="Normal 76" xfId="133" xr:uid="{00000000-0005-0000-0000-00007E000000}"/>
    <cellStyle name="Normal 77" xfId="132" xr:uid="{00000000-0005-0000-0000-00007F000000}"/>
    <cellStyle name="Normal 80" xfId="134" xr:uid="{00000000-0005-0000-0000-000080000000}"/>
    <cellStyle name="Normal 802" xfId="76" xr:uid="{00000000-0005-0000-0000-000081000000}"/>
    <cellStyle name="Normal 82" xfId="131" xr:uid="{00000000-0005-0000-0000-000082000000}"/>
    <cellStyle name="Normal 944" xfId="14" xr:uid="{00000000-0005-0000-0000-000083000000}"/>
    <cellStyle name="Normal 947" xfId="16" xr:uid="{00000000-0005-0000-0000-000084000000}"/>
    <cellStyle name="Normal 952" xfId="44" xr:uid="{00000000-0005-0000-0000-000085000000}"/>
    <cellStyle name="Normal 957" xfId="56" xr:uid="{00000000-0005-0000-0000-000086000000}"/>
    <cellStyle name="Normal 958" xfId="57" xr:uid="{00000000-0005-0000-0000-000087000000}"/>
    <cellStyle name="Normal 959" xfId="58" xr:uid="{00000000-0005-0000-0000-000088000000}"/>
    <cellStyle name="Normal 960" xfId="59" xr:uid="{00000000-0005-0000-0000-000089000000}"/>
    <cellStyle name="Normal 961" xfId="61" xr:uid="{00000000-0005-0000-0000-00008A000000}"/>
    <cellStyle name="Normal 962" xfId="62" xr:uid="{00000000-0005-0000-0000-00008B000000}"/>
    <cellStyle name="Normal 963" xfId="63" xr:uid="{00000000-0005-0000-0000-00008C000000}"/>
    <cellStyle name="Normal 964" xfId="65" xr:uid="{00000000-0005-0000-0000-00008D000000}"/>
    <cellStyle name="Normal 965" xfId="66" xr:uid="{00000000-0005-0000-0000-00008E000000}"/>
    <cellStyle name="Normal 966" xfId="67" xr:uid="{00000000-0005-0000-0000-00008F000000}"/>
    <cellStyle name="Normal 967" xfId="68" xr:uid="{00000000-0005-0000-0000-000090000000}"/>
    <cellStyle name="Normal 971" xfId="37" xr:uid="{00000000-0005-0000-0000-000091000000}"/>
    <cellStyle name="Normal 986" xfId="34" xr:uid="{00000000-0005-0000-0000-000092000000}"/>
    <cellStyle name="Normal_ECONTABLES JUN2002" xfId="101" xr:uid="{00000000-0005-0000-0000-000093000000}"/>
    <cellStyle name="Porcentaje" xfId="9" builtinId="5"/>
    <cellStyle name="Porcentaje 2" xfId="150" xr:uid="{24EB793F-8346-464E-B270-C825F6F088AE}"/>
    <cellStyle name="Porcentual 3" xfId="145" xr:uid="{00000000-0005-0000-0000-000095000000}"/>
  </cellStyles>
  <dxfs count="0"/>
  <tableStyles count="0" defaultTableStyle="TableStyleMedium2" defaultPivotStyle="PivotStyleLight16"/>
  <colors>
    <mruColors>
      <color rgb="FF13213D"/>
      <color rgb="FF0000CC"/>
      <color rgb="FFFF0000"/>
      <color rgb="FFCC3300"/>
      <color rgb="FF000099"/>
      <color rgb="FF333399"/>
      <color rgb="FF0000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2914650</xdr:colOff>
      <xdr:row>1</xdr:row>
      <xdr:rowOff>57149</xdr:rowOff>
    </xdr:from>
    <xdr:to>
      <xdr:col>1</xdr:col>
      <xdr:colOff>4972050</xdr:colOff>
      <xdr:row>3</xdr:row>
      <xdr:rowOff>809624</xdr:rowOff>
    </xdr:to>
    <xdr:pic>
      <xdr:nvPicPr>
        <xdr:cNvPr id="2" name="Imagen 1">
          <a:extLst>
            <a:ext uri="{FF2B5EF4-FFF2-40B4-BE49-F238E27FC236}">
              <a16:creationId xmlns:a16="http://schemas.microsoft.com/office/drawing/2014/main" id="{50159B23-4383-4414-8E67-62DC4C15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209549"/>
          <a:ext cx="20574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0</xdr:colOff>
      <xdr:row>9</xdr:row>
      <xdr:rowOff>180975</xdr:rowOff>
    </xdr:to>
    <xdr:cxnSp macro="">
      <xdr:nvCxnSpPr>
        <xdr:cNvPr id="2" name="Conector recto 1">
          <a:extLst>
            <a:ext uri="{FF2B5EF4-FFF2-40B4-BE49-F238E27FC236}">
              <a16:creationId xmlns:a16="http://schemas.microsoft.com/office/drawing/2014/main" id="{573C3A48-E4F8-441B-A1F5-816C9BD9C75A}"/>
            </a:ext>
          </a:extLst>
        </xdr:cNvPr>
        <xdr:cNvCxnSpPr/>
      </xdr:nvCxnSpPr>
      <xdr:spPr>
        <a:xfrm>
          <a:off x="2533650" y="1628775"/>
          <a:ext cx="2409825" cy="9429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6</xdr:row>
      <xdr:rowOff>123825</xdr:rowOff>
    </xdr:from>
    <xdr:to>
      <xdr:col>2</xdr:col>
      <xdr:colOff>1066800</xdr:colOff>
      <xdr:row>10</xdr:row>
      <xdr:rowOff>95250</xdr:rowOff>
    </xdr:to>
    <xdr:cxnSp macro="">
      <xdr:nvCxnSpPr>
        <xdr:cNvPr id="2" name="Conector recto 1">
          <a:extLst>
            <a:ext uri="{FF2B5EF4-FFF2-40B4-BE49-F238E27FC236}">
              <a16:creationId xmlns:a16="http://schemas.microsoft.com/office/drawing/2014/main" id="{E6922256-0667-4BB8-87A2-E34D5520E79B}"/>
            </a:ext>
          </a:extLst>
        </xdr:cNvPr>
        <xdr:cNvCxnSpPr/>
      </xdr:nvCxnSpPr>
      <xdr:spPr>
        <a:xfrm>
          <a:off x="2647950" y="1371600"/>
          <a:ext cx="2200275" cy="66675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6</xdr:row>
      <xdr:rowOff>0</xdr:rowOff>
    </xdr:from>
    <xdr:to>
      <xdr:col>5</xdr:col>
      <xdr:colOff>19050</xdr:colOff>
      <xdr:row>8</xdr:row>
      <xdr:rowOff>123825</xdr:rowOff>
    </xdr:to>
    <xdr:cxnSp macro="">
      <xdr:nvCxnSpPr>
        <xdr:cNvPr id="2" name="Conector recto 1">
          <a:extLst>
            <a:ext uri="{FF2B5EF4-FFF2-40B4-BE49-F238E27FC236}">
              <a16:creationId xmlns:a16="http://schemas.microsoft.com/office/drawing/2014/main" id="{F426AA5F-D0C6-4023-8963-FE6833CFF40C}"/>
            </a:ext>
          </a:extLst>
        </xdr:cNvPr>
        <xdr:cNvCxnSpPr/>
      </xdr:nvCxnSpPr>
      <xdr:spPr>
        <a:xfrm>
          <a:off x="3476625" y="1409700"/>
          <a:ext cx="2324100" cy="6191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8</xdr:row>
      <xdr:rowOff>66675</xdr:rowOff>
    </xdr:from>
    <xdr:to>
      <xdr:col>4</xdr:col>
      <xdr:colOff>1514475</xdr:colOff>
      <xdr:row>11</xdr:row>
      <xdr:rowOff>95250</xdr:rowOff>
    </xdr:to>
    <xdr:cxnSp macro="">
      <xdr:nvCxnSpPr>
        <xdr:cNvPr id="2" name="Conector recto 1">
          <a:extLst>
            <a:ext uri="{FF2B5EF4-FFF2-40B4-BE49-F238E27FC236}">
              <a16:creationId xmlns:a16="http://schemas.microsoft.com/office/drawing/2014/main" id="{1F19B889-F3DC-416F-90E0-E3A8C4B03D03}"/>
            </a:ext>
          </a:extLst>
        </xdr:cNvPr>
        <xdr:cNvCxnSpPr/>
      </xdr:nvCxnSpPr>
      <xdr:spPr>
        <a:xfrm>
          <a:off x="95250" y="1714500"/>
          <a:ext cx="8115300" cy="600075"/>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95250</xdr:colOff>
      <xdr:row>15</xdr:row>
      <xdr:rowOff>76200</xdr:rowOff>
    </xdr:from>
    <xdr:to>
      <xdr:col>4</xdr:col>
      <xdr:colOff>1495425</xdr:colOff>
      <xdr:row>18</xdr:row>
      <xdr:rowOff>104775</xdr:rowOff>
    </xdr:to>
    <xdr:cxnSp macro="">
      <xdr:nvCxnSpPr>
        <xdr:cNvPr id="5" name="Conector recto 4">
          <a:extLst>
            <a:ext uri="{FF2B5EF4-FFF2-40B4-BE49-F238E27FC236}">
              <a16:creationId xmlns:a16="http://schemas.microsoft.com/office/drawing/2014/main" id="{EC7965E4-7132-41EE-B6B8-085B3B944386}"/>
            </a:ext>
          </a:extLst>
        </xdr:cNvPr>
        <xdr:cNvCxnSpPr/>
      </xdr:nvCxnSpPr>
      <xdr:spPr>
        <a:xfrm>
          <a:off x="95250" y="3248025"/>
          <a:ext cx="8096250" cy="600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12</xdr:row>
      <xdr:rowOff>76200</xdr:rowOff>
    </xdr:from>
    <xdr:to>
      <xdr:col>2</xdr:col>
      <xdr:colOff>1685925</xdr:colOff>
      <xdr:row>24</xdr:row>
      <xdr:rowOff>85725</xdr:rowOff>
    </xdr:to>
    <xdr:cxnSp macro="">
      <xdr:nvCxnSpPr>
        <xdr:cNvPr id="2" name="Conector recto 1">
          <a:extLst>
            <a:ext uri="{FF2B5EF4-FFF2-40B4-BE49-F238E27FC236}">
              <a16:creationId xmlns:a16="http://schemas.microsoft.com/office/drawing/2014/main" id="{C09EE1A2-E76E-4F63-9A06-9D93D5749B36}"/>
            </a:ext>
          </a:extLst>
        </xdr:cNvPr>
        <xdr:cNvCxnSpPr/>
      </xdr:nvCxnSpPr>
      <xdr:spPr>
        <a:xfrm>
          <a:off x="3276600" y="3629025"/>
          <a:ext cx="3105150" cy="24098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333375</xdr:colOff>
      <xdr:row>5</xdr:row>
      <xdr:rowOff>19050</xdr:rowOff>
    </xdr:to>
    <xdr:cxnSp macro="">
      <xdr:nvCxnSpPr>
        <xdr:cNvPr id="2" name="Conector recto 1">
          <a:extLst>
            <a:ext uri="{FF2B5EF4-FFF2-40B4-BE49-F238E27FC236}">
              <a16:creationId xmlns:a16="http://schemas.microsoft.com/office/drawing/2014/main" id="{B1CF3CBE-F874-4BF3-97C7-9E339E56813E}"/>
            </a:ext>
          </a:extLst>
        </xdr:cNvPr>
        <xdr:cNvCxnSpPr/>
      </xdr:nvCxnSpPr>
      <xdr:spPr>
        <a:xfrm>
          <a:off x="0" y="762000"/>
          <a:ext cx="9286875" cy="5810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4</xdr:col>
      <xdr:colOff>638175</xdr:colOff>
      <xdr:row>6</xdr:row>
      <xdr:rowOff>180975</xdr:rowOff>
    </xdr:to>
    <xdr:pic>
      <xdr:nvPicPr>
        <xdr:cNvPr id="5" name="Imagen 4">
          <a:extLst>
            <a:ext uri="{FF2B5EF4-FFF2-40B4-BE49-F238E27FC236}">
              <a16:creationId xmlns:a16="http://schemas.microsoft.com/office/drawing/2014/main" id="{99E5C147-B691-48E2-916A-C1F008E6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5" y="0"/>
          <a:ext cx="16097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47625</xdr:rowOff>
    </xdr:from>
    <xdr:to>
      <xdr:col>3</xdr:col>
      <xdr:colOff>47625</xdr:colOff>
      <xdr:row>9</xdr:row>
      <xdr:rowOff>95250</xdr:rowOff>
    </xdr:to>
    <xdr:cxnSp macro="">
      <xdr:nvCxnSpPr>
        <xdr:cNvPr id="2" name="Conector recto 1">
          <a:extLst>
            <a:ext uri="{FF2B5EF4-FFF2-40B4-BE49-F238E27FC236}">
              <a16:creationId xmlns:a16="http://schemas.microsoft.com/office/drawing/2014/main" id="{F88BA419-8EB9-4D5B-B0EB-E2DD96833D88}"/>
            </a:ext>
          </a:extLst>
        </xdr:cNvPr>
        <xdr:cNvCxnSpPr/>
      </xdr:nvCxnSpPr>
      <xdr:spPr>
        <a:xfrm>
          <a:off x="1685925" y="1485900"/>
          <a:ext cx="2305050" cy="4286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20</xdr:row>
      <xdr:rowOff>114300</xdr:rowOff>
    </xdr:from>
    <xdr:to>
      <xdr:col>1</xdr:col>
      <xdr:colOff>942975</xdr:colOff>
      <xdr:row>20</xdr:row>
      <xdr:rowOff>114302</xdr:rowOff>
    </xdr:to>
    <xdr:cxnSp macro="">
      <xdr:nvCxnSpPr>
        <xdr:cNvPr id="14" name="Conector recto 13">
          <a:extLst>
            <a:ext uri="{FF2B5EF4-FFF2-40B4-BE49-F238E27FC236}">
              <a16:creationId xmlns:a16="http://schemas.microsoft.com/office/drawing/2014/main" id="{EC3FADCE-CD61-4274-955C-D316E8AB7203}"/>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xdr:from>
      <xdr:col>7</xdr:col>
      <xdr:colOff>285750</xdr:colOff>
      <xdr:row>20</xdr:row>
      <xdr:rowOff>114300</xdr:rowOff>
    </xdr:from>
    <xdr:to>
      <xdr:col>7</xdr:col>
      <xdr:colOff>942975</xdr:colOff>
      <xdr:row>20</xdr:row>
      <xdr:rowOff>114302</xdr:rowOff>
    </xdr:to>
    <xdr:cxnSp macro="">
      <xdr:nvCxnSpPr>
        <xdr:cNvPr id="6" name="Conector recto 5">
          <a:extLst>
            <a:ext uri="{FF2B5EF4-FFF2-40B4-BE49-F238E27FC236}">
              <a16:creationId xmlns:a16="http://schemas.microsoft.com/office/drawing/2014/main" id="{8F0D4B7E-00E8-443A-8E24-2AEFF5634536}"/>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editAs="oneCell">
    <xdr:from>
      <xdr:col>7</xdr:col>
      <xdr:colOff>0</xdr:colOff>
      <xdr:row>19</xdr:row>
      <xdr:rowOff>0</xdr:rowOff>
    </xdr:from>
    <xdr:to>
      <xdr:col>8</xdr:col>
      <xdr:colOff>9525</xdr:colOff>
      <xdr:row>20</xdr:row>
      <xdr:rowOff>0</xdr:rowOff>
    </xdr:to>
    <xdr:pic>
      <xdr:nvPicPr>
        <xdr:cNvPr id="10" name="Imagen 9">
          <a:extLst>
            <a:ext uri="{FF2B5EF4-FFF2-40B4-BE49-F238E27FC236}">
              <a16:creationId xmlns:a16="http://schemas.microsoft.com/office/drawing/2014/main" id="{30B30BB9-CD6B-4167-9AF8-073E21CC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2667" y="3619500"/>
          <a:ext cx="12795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7</xdr:col>
      <xdr:colOff>46566</xdr:colOff>
      <xdr:row>25</xdr:row>
      <xdr:rowOff>9525</xdr:rowOff>
    </xdr:to>
    <xdr:pic>
      <xdr:nvPicPr>
        <xdr:cNvPr id="13" name="Imagen 12">
          <a:extLst>
            <a:ext uri="{FF2B5EF4-FFF2-40B4-BE49-F238E27FC236}">
              <a16:creationId xmlns:a16="http://schemas.microsoft.com/office/drawing/2014/main" id="{CD366737-AA0F-4975-9557-6B5DA6403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419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7</xdr:col>
      <xdr:colOff>46566</xdr:colOff>
      <xdr:row>26</xdr:row>
      <xdr:rowOff>9525</xdr:rowOff>
    </xdr:to>
    <xdr:pic>
      <xdr:nvPicPr>
        <xdr:cNvPr id="15" name="Imagen 14">
          <a:extLst>
            <a:ext uri="{FF2B5EF4-FFF2-40B4-BE49-F238E27FC236}">
              <a16:creationId xmlns:a16="http://schemas.microsoft.com/office/drawing/2014/main" id="{2CB21E87-F122-4247-ADDE-67371592A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610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7</xdr:col>
      <xdr:colOff>46566</xdr:colOff>
      <xdr:row>27</xdr:row>
      <xdr:rowOff>9525</xdr:rowOff>
    </xdr:to>
    <xdr:pic>
      <xdr:nvPicPr>
        <xdr:cNvPr id="16" name="Imagen 15">
          <a:extLst>
            <a:ext uri="{FF2B5EF4-FFF2-40B4-BE49-F238E27FC236}">
              <a16:creationId xmlns:a16="http://schemas.microsoft.com/office/drawing/2014/main" id="{27799042-F128-4E62-8D4A-AF24E5BF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800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7</xdr:col>
      <xdr:colOff>46566</xdr:colOff>
      <xdr:row>28</xdr:row>
      <xdr:rowOff>9525</xdr:rowOff>
    </xdr:to>
    <xdr:pic>
      <xdr:nvPicPr>
        <xdr:cNvPr id="17" name="Imagen 16">
          <a:extLst>
            <a:ext uri="{FF2B5EF4-FFF2-40B4-BE49-F238E27FC236}">
              <a16:creationId xmlns:a16="http://schemas.microsoft.com/office/drawing/2014/main" id="{48F3AC82-CFF1-4973-AD87-75645FD07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991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8</xdr:col>
      <xdr:colOff>9525</xdr:colOff>
      <xdr:row>19</xdr:row>
      <xdr:rowOff>0</xdr:rowOff>
    </xdr:to>
    <xdr:pic>
      <xdr:nvPicPr>
        <xdr:cNvPr id="11" name="Imagen 10">
          <a:extLst>
            <a:ext uri="{FF2B5EF4-FFF2-40B4-BE49-F238E27FC236}">
              <a16:creationId xmlns:a16="http://schemas.microsoft.com/office/drawing/2014/main" id="{ADE45665-9AFF-482C-87FA-E1E9B43DA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3657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114300</xdr:rowOff>
    </xdr:from>
    <xdr:to>
      <xdr:col>2</xdr:col>
      <xdr:colOff>800100</xdr:colOff>
      <xdr:row>11</xdr:row>
      <xdr:rowOff>0</xdr:rowOff>
    </xdr:to>
    <xdr:cxnSp macro="">
      <xdr:nvCxnSpPr>
        <xdr:cNvPr id="2" name="Conector recto 1">
          <a:extLst>
            <a:ext uri="{FF2B5EF4-FFF2-40B4-BE49-F238E27FC236}">
              <a16:creationId xmlns:a16="http://schemas.microsoft.com/office/drawing/2014/main" id="{6130ABAE-1713-40E8-8F85-E5F2B1D87D00}"/>
            </a:ext>
          </a:extLst>
        </xdr:cNvPr>
        <xdr:cNvCxnSpPr/>
      </xdr:nvCxnSpPr>
      <xdr:spPr>
        <a:xfrm>
          <a:off x="2990850" y="1362075"/>
          <a:ext cx="1724025" cy="9144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152400</xdr:rowOff>
    </xdr:from>
    <xdr:to>
      <xdr:col>9</xdr:col>
      <xdr:colOff>28575</xdr:colOff>
      <xdr:row>11</xdr:row>
      <xdr:rowOff>523875</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0" y="1943100"/>
          <a:ext cx="7077075"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900">
              <a:latin typeface="Arial" panose="020B0604020202020204" pitchFamily="34" charset="0"/>
              <a:cs typeface="Arial" panose="020B0604020202020204" pitchFamily="34" charset="0"/>
            </a:rPr>
            <a:t>Reserva de Revalúo fiscal: Al cierre del ejercicio aplicando el coeficiente  de  revalúo determinado  por  la  Administración Tributaria.</a:t>
          </a:r>
          <a:r>
            <a:rPr lang="es-PY" sz="900" baseline="0">
              <a:latin typeface="Arial" panose="020B0604020202020204" pitchFamily="34" charset="0"/>
              <a:cs typeface="Arial" panose="020B0604020202020204" pitchFamily="34" charset="0"/>
            </a:rPr>
            <a:t>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dispuetso el último ajuste por revalúo.</a:t>
          </a:r>
        </a:p>
        <a:p>
          <a:r>
            <a:rPr lang="es-PY" sz="900">
              <a:latin typeface="Arial" panose="020B0604020202020204" pitchFamily="34" charset="0"/>
              <a:cs typeface="Arial" panose="020B0604020202020204" pitchFamily="34" charset="0"/>
            </a:rPr>
            <a:t>Reserva de Revaluo técnico:</a:t>
          </a:r>
          <a:r>
            <a:rPr lang="es-PY" sz="900" baseline="0">
              <a:latin typeface="Arial" panose="020B0604020202020204" pitchFamily="34" charset="0"/>
              <a:cs typeface="Arial" panose="020B0604020202020204" pitchFamily="34" charset="0"/>
            </a:rPr>
            <a:t> segun valor de tasación de bienes inmuebles de la actividad agropecuaria. </a:t>
          </a:r>
          <a:endParaRPr lang="es-PY" sz="900">
            <a:latin typeface="Arial" panose="020B0604020202020204" pitchFamily="34" charset="0"/>
            <a:cs typeface="Arial" panose="020B0604020202020204" pitchFamily="34" charset="0"/>
          </a:endParaRPr>
        </a:p>
      </xdr:txBody>
    </xdr:sp>
    <xdr:clientData/>
  </xdr:twoCellAnchor>
  <xdr:twoCellAnchor>
    <xdr:from>
      <xdr:col>0</xdr:col>
      <xdr:colOff>28574</xdr:colOff>
      <xdr:row>25</xdr:row>
      <xdr:rowOff>76201</xdr:rowOff>
    </xdr:from>
    <xdr:to>
      <xdr:col>4</xdr:col>
      <xdr:colOff>838199</xdr:colOff>
      <xdr:row>28</xdr:row>
      <xdr:rowOff>19049</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flipH="1">
          <a:off x="28574" y="5219701"/>
          <a:ext cx="7019925" cy="514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solidFill>
              <a:schemeClr val="dk1"/>
            </a:solidFill>
            <a:effectLst/>
            <a:latin typeface="+mn-lt"/>
            <a:ea typeface="+mn-ea"/>
            <a:cs typeface="+mn-cs"/>
          </a:endParaRPr>
        </a:p>
      </xdr:txBody>
    </xdr:sp>
    <xdr:clientData/>
  </xdr:twoCellAnchor>
  <xdr:twoCellAnchor>
    <xdr:from>
      <xdr:col>0</xdr:col>
      <xdr:colOff>47625</xdr:colOff>
      <xdr:row>18</xdr:row>
      <xdr:rowOff>28575</xdr:rowOff>
    </xdr:from>
    <xdr:to>
      <xdr:col>8</xdr:col>
      <xdr:colOff>85725</xdr:colOff>
      <xdr:row>20</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900">
              <a:solidFill>
                <a:schemeClr val="dk1"/>
              </a:solidFill>
              <a:effectLst/>
              <a:latin typeface="Arial" panose="020B0604020202020204" pitchFamily="34" charset="0"/>
              <a:ea typeface="+mn-ea"/>
              <a:cs typeface="Arial" panose="020B0604020202020204" pitchFamily="34" charset="0"/>
            </a:rPr>
            <a:t>Breve Descripción</a:t>
          </a:r>
          <a:endParaRPr lang="es-PY" sz="900">
            <a:effectLst/>
            <a:latin typeface="Arial" panose="020B0604020202020204" pitchFamily="34" charset="0"/>
            <a:cs typeface="Arial" panose="020B0604020202020204" pitchFamily="34" charset="0"/>
          </a:endParaRPr>
        </a:p>
        <a:p>
          <a:endParaRPr lang="es-PY" sz="1100"/>
        </a:p>
      </xdr:txBody>
    </xdr:sp>
    <xdr:clientData/>
  </xdr:twoCellAnchor>
  <xdr:twoCellAnchor>
    <xdr:from>
      <xdr:col>0</xdr:col>
      <xdr:colOff>47625</xdr:colOff>
      <xdr:row>25</xdr:row>
      <xdr:rowOff>85725</xdr:rowOff>
    </xdr:from>
    <xdr:to>
      <xdr:col>8</xdr:col>
      <xdr:colOff>85725</xdr:colOff>
      <xdr:row>28</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 legislación paraguaya establece una transferencia del 5% de las utilidades del ejercicio para la constitución de una Reserva Legal hasta completar el 20% del Capital Integrado.</a:t>
          </a:r>
          <a:endParaRPr lang="es-ES">
            <a:effectLst/>
          </a:endParaRPr>
        </a:p>
      </xdr:txBody>
    </xdr:sp>
    <xdr:clientData/>
  </xdr:twoCellAnchor>
  <xdr:twoCellAnchor>
    <xdr:from>
      <xdr:col>0</xdr:col>
      <xdr:colOff>76200</xdr:colOff>
      <xdr:row>31</xdr:row>
      <xdr:rowOff>28574</xdr:rowOff>
    </xdr:from>
    <xdr:to>
      <xdr:col>7</xdr:col>
      <xdr:colOff>0</xdr:colOff>
      <xdr:row>34</xdr:row>
      <xdr:rowOff>0</xdr:rowOff>
    </xdr:to>
    <xdr:sp macro="" textlink="">
      <xdr:nvSpPr>
        <xdr:cNvPr id="7" name="CuadroTexto 6">
          <a:extLst>
            <a:ext uri="{FF2B5EF4-FFF2-40B4-BE49-F238E27FC236}">
              <a16:creationId xmlns:a16="http://schemas.microsoft.com/office/drawing/2014/main" id="{2A5B51FD-914A-4335-B997-5CCE8ECE68BA}"/>
            </a:ext>
          </a:extLst>
        </xdr:cNvPr>
        <xdr:cNvSpPr txBox="1"/>
      </xdr:nvSpPr>
      <xdr:spPr>
        <a:xfrm>
          <a:off x="76200" y="4171949"/>
          <a:ext cx="7581900" cy="54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Se</a:t>
          </a:r>
          <a:r>
            <a:rPr lang="es-PY" sz="1100" baseline="0"/>
            <a:t> destina un porcentaje de la utilidad del ejercicio, según la propuesta de distribución presentada por el directorio. </a:t>
          </a:r>
          <a:r>
            <a:rPr lang="es-PY" sz="1100" baseline="0">
              <a:solidFill>
                <a:schemeClr val="dk1"/>
              </a:solidFill>
              <a:effectLst/>
              <a:latin typeface="+mn-lt"/>
              <a:ea typeface="+mn-ea"/>
              <a:cs typeface="+mn-cs"/>
            </a:rPr>
            <a:t>Este </a:t>
          </a:r>
          <a:r>
            <a:rPr lang="es-PY" sz="1100" baseline="0"/>
            <a:t>fondo es utilizado para realizar integraciones de capital. </a:t>
          </a:r>
          <a:endParaRPr lang="es-PY"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6</xdr:row>
      <xdr:rowOff>114300</xdr:rowOff>
    </xdr:from>
    <xdr:to>
      <xdr:col>2</xdr:col>
      <xdr:colOff>1190625</xdr:colOff>
      <xdr:row>7</xdr:row>
      <xdr:rowOff>114300</xdr:rowOff>
    </xdr:to>
    <xdr:cxnSp macro="">
      <xdr:nvCxnSpPr>
        <xdr:cNvPr id="2" name="Conector recto 1">
          <a:extLst>
            <a:ext uri="{FF2B5EF4-FFF2-40B4-BE49-F238E27FC236}">
              <a16:creationId xmlns:a16="http://schemas.microsoft.com/office/drawing/2014/main" id="{B914D9CA-CC2A-4F43-8410-B69A3042087D}"/>
            </a:ext>
          </a:extLst>
        </xdr:cNvPr>
        <xdr:cNvCxnSpPr/>
      </xdr:nvCxnSpPr>
      <xdr:spPr>
        <a:xfrm>
          <a:off x="2381250" y="1362075"/>
          <a:ext cx="2371725" cy="1905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6</xdr:row>
      <xdr:rowOff>76200</xdr:rowOff>
    </xdr:from>
    <xdr:to>
      <xdr:col>2</xdr:col>
      <xdr:colOff>1190625</xdr:colOff>
      <xdr:row>7</xdr:row>
      <xdr:rowOff>0</xdr:rowOff>
    </xdr:to>
    <xdr:cxnSp macro="">
      <xdr:nvCxnSpPr>
        <xdr:cNvPr id="3" name="Conector recto 2">
          <a:extLst>
            <a:ext uri="{FF2B5EF4-FFF2-40B4-BE49-F238E27FC236}">
              <a16:creationId xmlns:a16="http://schemas.microsoft.com/office/drawing/2014/main" id="{DDACBE7B-74AA-4B06-AA22-3313289CCBF7}"/>
            </a:ext>
          </a:extLst>
        </xdr:cNvPr>
        <xdr:cNvCxnSpPr/>
      </xdr:nvCxnSpPr>
      <xdr:spPr>
        <a:xfrm>
          <a:off x="2419350" y="4048125"/>
          <a:ext cx="2333625" cy="1143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6</xdr:row>
      <xdr:rowOff>85725</xdr:rowOff>
    </xdr:from>
    <xdr:to>
      <xdr:col>3</xdr:col>
      <xdr:colOff>9525</xdr:colOff>
      <xdr:row>8</xdr:row>
      <xdr:rowOff>133350</xdr:rowOff>
    </xdr:to>
    <xdr:cxnSp macro="">
      <xdr:nvCxnSpPr>
        <xdr:cNvPr id="2" name="Conector recto 1">
          <a:extLst>
            <a:ext uri="{FF2B5EF4-FFF2-40B4-BE49-F238E27FC236}">
              <a16:creationId xmlns:a16="http://schemas.microsoft.com/office/drawing/2014/main" id="{D5853B84-18F9-4029-8F9B-C24C283DF1AF}"/>
            </a:ext>
          </a:extLst>
        </xdr:cNvPr>
        <xdr:cNvCxnSpPr/>
      </xdr:nvCxnSpPr>
      <xdr:spPr>
        <a:xfrm>
          <a:off x="2333625" y="1295400"/>
          <a:ext cx="1847850" cy="428625"/>
        </a:xfrm>
        <a:prstGeom prst="line">
          <a:avLst/>
        </a:prstGeom>
        <a:noFill/>
        <a:ln w="6350" cap="flat" cmpd="sng" algn="ctr">
          <a:solidFill>
            <a:sysClr val="windowText" lastClr="000000"/>
          </a:solidFill>
          <a:prstDash val="solid"/>
          <a:miter lim="800000"/>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A%20C.N.V/2020/JUNIO/Estados%20Financieros%20NGO%20SAECA%20al%2030%20de%20JUNIO%20de%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ica_adorno\AppData\Local\Microsoft\Windows\Temporary%20Internet%20Files\Content.Outlook\4QML1D3Q\Copia%20de%20Notas%20a%20los%20Estados%20Financieros%20-%20excel%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BG"/>
      <sheetName val="EVPN"/>
      <sheetName val="ER"/>
      <sheetName val="EFE"/>
      <sheetName val="Nota1"/>
      <sheetName val="Nota 2"/>
      <sheetName val="Nota 3"/>
      <sheetName val="Nota 4"/>
      <sheetName val="Nota 5"/>
      <sheetName val="Nota 6"/>
      <sheetName val="Nota 7"/>
      <sheetName val="Nota 8"/>
      <sheetName val="Nota 9"/>
      <sheetName val="Nota 10"/>
      <sheetName val="cred"/>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NICOLAS GONZALEZ ODDONE S.A.E.C.A</v>
          </cell>
        </row>
      </sheetData>
      <sheetData sheetId="2"/>
      <sheetData sheetId="3"/>
      <sheetData sheetId="4"/>
      <sheetData sheetId="5"/>
      <sheetData sheetId="6"/>
      <sheetData sheetId="7"/>
      <sheetData sheetId="8">
        <row r="20">
          <cell r="C20">
            <v>126641475517</v>
          </cell>
        </row>
      </sheetData>
      <sheetData sheetId="9">
        <row r="15">
          <cell r="B15">
            <v>84347513601</v>
          </cell>
        </row>
      </sheetData>
      <sheetData sheetId="10">
        <row r="18">
          <cell r="C18">
            <v>235763205002</v>
          </cell>
        </row>
      </sheetData>
      <sheetData sheetId="11">
        <row r="10">
          <cell r="F10">
            <v>172445862</v>
          </cell>
        </row>
      </sheetData>
      <sheetData sheetId="12">
        <row r="20">
          <cell r="B20">
            <v>275546845066</v>
          </cell>
        </row>
      </sheetData>
      <sheetData sheetId="13">
        <row r="10">
          <cell r="B10">
            <v>32213537431</v>
          </cell>
        </row>
      </sheetData>
      <sheetData sheetId="14">
        <row r="55">
          <cell r="M55">
            <v>329376781336</v>
          </cell>
        </row>
      </sheetData>
      <sheetData sheetId="15">
        <row r="29">
          <cell r="B29">
            <v>41699178265</v>
          </cell>
        </row>
      </sheetData>
      <sheetData sheetId="16"/>
      <sheetData sheetId="17">
        <row r="32">
          <cell r="B32">
            <v>3234422410</v>
          </cell>
        </row>
      </sheetData>
      <sheetData sheetId="18">
        <row r="11">
          <cell r="B11">
            <v>0</v>
          </cell>
          <cell r="C11">
            <v>0</v>
          </cell>
        </row>
      </sheetData>
      <sheetData sheetId="19">
        <row r="39">
          <cell r="B39">
            <v>7960397530</v>
          </cell>
        </row>
      </sheetData>
      <sheetData sheetId="20">
        <row r="26">
          <cell r="K26">
            <v>121455939859</v>
          </cell>
        </row>
      </sheetData>
      <sheetData sheetId="21"/>
      <sheetData sheetId="22">
        <row r="13">
          <cell r="C13">
            <v>2031121155</v>
          </cell>
        </row>
      </sheetData>
      <sheetData sheetId="23">
        <row r="12">
          <cell r="C12">
            <v>1507992706</v>
          </cell>
        </row>
      </sheetData>
      <sheetData sheetId="24">
        <row r="33">
          <cell r="B33">
            <v>13212356175</v>
          </cell>
        </row>
      </sheetData>
      <sheetData sheetId="25">
        <row r="23">
          <cell r="B23">
            <v>12298288803</v>
          </cell>
        </row>
      </sheetData>
      <sheetData sheetId="26">
        <row r="6">
          <cell r="B6">
            <v>643227002000</v>
          </cell>
        </row>
      </sheetData>
      <sheetData sheetId="27">
        <row r="9">
          <cell r="B9">
            <v>178972541980</v>
          </cell>
          <cell r="C9">
            <v>178972541980</v>
          </cell>
        </row>
      </sheetData>
      <sheetData sheetId="28"/>
      <sheetData sheetId="29">
        <row r="7">
          <cell r="B7">
            <v>74406096363</v>
          </cell>
        </row>
      </sheetData>
      <sheetData sheetId="30"/>
      <sheetData sheetId="31"/>
      <sheetData sheetId="32">
        <row r="9">
          <cell r="I9">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A1" t="str">
            <v>PYG</v>
          </cell>
          <cell r="B1" t="str">
            <v>Guaraní</v>
          </cell>
        </row>
        <row r="2">
          <cell r="A2" t="str">
            <v>USD</v>
          </cell>
          <cell r="B2" t="str">
            <v>Dólar estadounidense</v>
          </cell>
        </row>
        <row r="3">
          <cell r="A3" t="str">
            <v>EUR</v>
          </cell>
          <cell r="B3" t="str">
            <v>Euro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Hoja1"/>
      <sheetName val="Nota 6"/>
      <sheetName val="Nota 7"/>
      <sheetName val="Nota 8"/>
      <sheetName val="Nota 10"/>
      <sheetName val="Nota 9"/>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row r="1">
          <cell r="C1" t="str">
            <v>NICOLAS GONZALEZ ODDONE S.A.E.C.A</v>
          </cell>
        </row>
        <row r="6">
          <cell r="B6">
            <v>43921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0"/>
  <sheetViews>
    <sheetView showGridLines="0" topLeftCell="A19" workbookViewId="0">
      <selection activeCell="D4" sqref="D4"/>
    </sheetView>
  </sheetViews>
  <sheetFormatPr baseColWidth="10" defaultColWidth="11.42578125" defaultRowHeight="12"/>
  <cols>
    <col min="1" max="1" width="4.140625" style="6" customWidth="1"/>
    <col min="2" max="2" width="116.28515625" style="6" customWidth="1"/>
    <col min="3" max="16384" width="11.42578125" style="6"/>
  </cols>
  <sheetData>
    <row r="1" spans="2:2">
      <c r="B1" s="362"/>
    </row>
    <row r="2" spans="2:2" ht="52.5" customHeight="1">
      <c r="B2" s="363"/>
    </row>
    <row r="3" spans="2:2">
      <c r="B3" s="364"/>
    </row>
    <row r="4" spans="2:2" ht="67.5" customHeight="1">
      <c r="B4" s="365"/>
    </row>
    <row r="5" spans="2:2" ht="15">
      <c r="B5" s="366" t="s">
        <v>0</v>
      </c>
    </row>
    <row r="6" spans="2:2" ht="2.25" customHeight="1">
      <c r="B6" s="367"/>
    </row>
    <row r="7" spans="2:2" ht="24.75" customHeight="1">
      <c r="B7" s="367"/>
    </row>
    <row r="8" spans="2:2" ht="15.75" customHeight="1">
      <c r="B8" s="368"/>
    </row>
    <row r="9" spans="2:2" ht="15">
      <c r="B9" s="369"/>
    </row>
    <row r="10" spans="2:2" ht="14.25" customHeight="1">
      <c r="B10" s="366" t="s">
        <v>1</v>
      </c>
    </row>
    <row r="11" spans="2:2" ht="15">
      <c r="B11" s="368"/>
    </row>
    <row r="12" spans="2:2" ht="15">
      <c r="B12" s="369"/>
    </row>
    <row r="13" spans="2:2" ht="26.25" customHeight="1">
      <c r="B13" s="366" t="s">
        <v>2</v>
      </c>
    </row>
    <row r="14" spans="2:2" ht="14.25">
      <c r="B14" s="366"/>
    </row>
    <row r="15" spans="2:2" ht="14.25">
      <c r="B15" s="366"/>
    </row>
    <row r="16" spans="2:2" ht="39" customHeight="1">
      <c r="B16" s="366" t="s">
        <v>3</v>
      </c>
    </row>
    <row r="17" spans="2:2" ht="14.25">
      <c r="B17" s="366"/>
    </row>
    <row r="18" spans="2:2" ht="30.75" customHeight="1">
      <c r="B18" s="366"/>
    </row>
    <row r="19" spans="2:2" ht="39.75" customHeight="1">
      <c r="B19" s="366" t="s">
        <v>4</v>
      </c>
    </row>
    <row r="20" spans="2:2" ht="14.25">
      <c r="B20" s="366"/>
    </row>
    <row r="21" spans="2:2" ht="40.5" customHeight="1">
      <c r="B21" s="366"/>
    </row>
    <row r="22" spans="2:2" ht="37.5" customHeight="1">
      <c r="B22" s="366" t="s">
        <v>5</v>
      </c>
    </row>
    <row r="23" spans="2:2" ht="14.25">
      <c r="B23" s="367"/>
    </row>
    <row r="24" spans="2:2" ht="14.25">
      <c r="B24" s="366"/>
    </row>
    <row r="25" spans="2:2" ht="27.75" customHeight="1">
      <c r="B25" s="366" t="s">
        <v>6</v>
      </c>
    </row>
    <row r="26" spans="2:2" ht="15" thickBot="1">
      <c r="B26" s="370"/>
    </row>
    <row r="27" spans="2:2" ht="29.25" customHeight="1">
      <c r="B27" s="356"/>
    </row>
    <row r="28" spans="2:2" ht="29.25" customHeight="1">
      <c r="B28" s="356"/>
    </row>
    <row r="29" spans="2:2" ht="30.75" customHeight="1">
      <c r="B29" s="356"/>
    </row>
    <row r="30" spans="2:2">
      <c r="B30" s="356"/>
    </row>
    <row r="31" spans="2:2" ht="18.75" customHeight="1">
      <c r="B31" s="358"/>
    </row>
    <row r="32" spans="2:2" ht="18" customHeight="1">
      <c r="B32" s="358"/>
    </row>
    <row r="33" spans="2:2" ht="17.25" customHeight="1">
      <c r="B33" s="359"/>
    </row>
    <row r="34" spans="2:2" ht="15" customHeight="1">
      <c r="B34" s="358"/>
    </row>
    <row r="35" spans="2:2" ht="15.75" customHeight="1">
      <c r="B35" s="360"/>
    </row>
    <row r="36" spans="2:2" ht="17.25" customHeight="1">
      <c r="B36" s="359"/>
    </row>
    <row r="37" spans="2:2" ht="15" customHeight="1">
      <c r="B37" s="358"/>
    </row>
    <row r="38" spans="2:2" ht="16.5" customHeight="1">
      <c r="B38" s="356"/>
    </row>
    <row r="39" spans="2:2">
      <c r="B39" s="356"/>
    </row>
    <row r="40" spans="2:2">
      <c r="B40" s="357"/>
    </row>
    <row r="42" spans="2:2">
      <c r="B42" s="142"/>
    </row>
    <row r="43" spans="2:2">
      <c r="B43" s="361"/>
    </row>
    <row r="44" spans="2:2">
      <c r="B44" s="101"/>
    </row>
    <row r="45" spans="2:2">
      <c r="B45" s="101"/>
    </row>
    <row r="46" spans="2:2">
      <c r="B46" s="101"/>
    </row>
    <row r="47" spans="2:2">
      <c r="B47" s="101"/>
    </row>
    <row r="48" spans="2:2">
      <c r="B48" s="101"/>
    </row>
    <row r="49" spans="2:2">
      <c r="B49" s="101"/>
    </row>
    <row r="50" spans="2:2">
      <c r="B50" s="101"/>
    </row>
    <row r="51" spans="2:2">
      <c r="B51" s="101"/>
    </row>
    <row r="52" spans="2:2">
      <c r="B52" s="101"/>
    </row>
    <row r="53" spans="2:2">
      <c r="B53" s="101"/>
    </row>
    <row r="54" spans="2:2">
      <c r="B54" s="101"/>
    </row>
    <row r="55" spans="2:2">
      <c r="B55" s="101"/>
    </row>
    <row r="56" spans="2:2">
      <c r="B56" s="101"/>
    </row>
    <row r="57" spans="2:2">
      <c r="B57" s="101"/>
    </row>
    <row r="58" spans="2:2">
      <c r="B58" s="101"/>
    </row>
    <row r="59" spans="2:2">
      <c r="B59" s="101"/>
    </row>
    <row r="60" spans="2:2">
      <c r="B60" s="101"/>
    </row>
    <row r="61" spans="2:2">
      <c r="B61" s="101"/>
    </row>
    <row r="62" spans="2:2">
      <c r="B62" s="101"/>
    </row>
    <row r="63" spans="2:2">
      <c r="B63" s="207"/>
    </row>
    <row r="64" spans="2:2" ht="14.25" customHeight="1">
      <c r="B64" s="101"/>
    </row>
    <row r="65" spans="2:2">
      <c r="B65" s="101"/>
    </row>
    <row r="66" spans="2:2">
      <c r="B66" s="101"/>
    </row>
    <row r="67" spans="2:2">
      <c r="B67" s="207"/>
    </row>
    <row r="68" spans="2:2">
      <c r="B68" s="101"/>
    </row>
    <row r="69" spans="2:2">
      <c r="B69" s="101"/>
    </row>
    <row r="70" spans="2:2">
      <c r="B70" s="204"/>
    </row>
    <row r="71" spans="2:2">
      <c r="B71" s="204"/>
    </row>
    <row r="72" spans="2:2">
      <c r="B72" s="204"/>
    </row>
    <row r="73" spans="2:2">
      <c r="B73" s="101"/>
    </row>
    <row r="74" spans="2:2">
      <c r="B74" s="101"/>
    </row>
    <row r="75" spans="2:2">
      <c r="B75" s="204"/>
    </row>
    <row r="76" spans="2:2">
      <c r="B76" s="101"/>
    </row>
    <row r="77" spans="2:2">
      <c r="B77" s="101"/>
    </row>
    <row r="78" spans="2:2">
      <c r="B78" s="101"/>
    </row>
    <row r="79" spans="2:2">
      <c r="B79" s="101"/>
    </row>
    <row r="80" spans="2:2">
      <c r="B80" s="204"/>
    </row>
    <row r="81" spans="2:2">
      <c r="B81" s="101"/>
    </row>
    <row r="82" spans="2:2">
      <c r="B82" s="101"/>
    </row>
    <row r="83" spans="2:2">
      <c r="B83" s="101"/>
    </row>
    <row r="84" spans="2:2">
      <c r="B84" s="101"/>
    </row>
    <row r="85" spans="2:2">
      <c r="B85" s="204"/>
    </row>
    <row r="86" spans="2:2">
      <c r="B86" s="204"/>
    </row>
    <row r="87" spans="2:2">
      <c r="B87" s="101"/>
    </row>
    <row r="88" spans="2:2">
      <c r="B88" s="101"/>
    </row>
    <row r="90" spans="2:2">
      <c r="B90" s="101"/>
    </row>
    <row r="91" spans="2:2">
      <c r="B91" s="101"/>
    </row>
    <row r="92" spans="2:2">
      <c r="B92" s="101"/>
    </row>
    <row r="93" spans="2:2">
      <c r="B93" s="101"/>
    </row>
    <row r="94" spans="2:2">
      <c r="B94" s="204"/>
    </row>
    <row r="95" spans="2:2">
      <c r="B95" s="101"/>
    </row>
    <row r="96" spans="2:2">
      <c r="B96" s="101"/>
    </row>
    <row r="97" spans="2:2">
      <c r="B97" s="101"/>
    </row>
    <row r="98" spans="2:2">
      <c r="B98" s="204"/>
    </row>
    <row r="99" spans="2:2">
      <c r="B99" s="101"/>
    </row>
    <row r="100" spans="2:2">
      <c r="B100" s="101"/>
    </row>
    <row r="101" spans="2:2">
      <c r="B101" s="101"/>
    </row>
    <row r="102" spans="2:2">
      <c r="B102" s="101"/>
    </row>
    <row r="103" spans="2:2">
      <c r="B103" s="101"/>
    </row>
    <row r="104" spans="2:2">
      <c r="B104" s="204"/>
    </row>
    <row r="105" spans="2:2">
      <c r="B105" s="204"/>
    </row>
    <row r="106" spans="2:2">
      <c r="B106" s="101"/>
    </row>
    <row r="107" spans="2:2">
      <c r="B107" s="204"/>
    </row>
    <row r="108" spans="2:2">
      <c r="B108" s="204"/>
    </row>
    <row r="109" spans="2:2">
      <c r="B109" s="101"/>
    </row>
    <row r="110" spans="2:2">
      <c r="B110" s="101"/>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AD75"/>
  <sheetViews>
    <sheetView showGridLines="0" topLeftCell="A6" workbookViewId="0">
      <selection activeCell="B22" sqref="B22"/>
    </sheetView>
  </sheetViews>
  <sheetFormatPr baseColWidth="10" defaultColWidth="11.42578125" defaultRowHeight="12"/>
  <cols>
    <col min="1" max="1" width="37.85546875" style="6" customWidth="1"/>
    <col min="2" max="2" width="15.7109375" style="98" customWidth="1"/>
    <col min="3" max="3" width="16.28515625" style="98" customWidth="1"/>
    <col min="4" max="5" width="11.42578125" style="6"/>
    <col min="6" max="6" width="11.42578125" style="6" customWidth="1"/>
    <col min="7" max="30" width="11.42578125" style="94"/>
    <col min="31" max="16384" width="11.42578125" style="6"/>
  </cols>
  <sheetData>
    <row r="1" spans="1:6" ht="14.25" customHeight="1">
      <c r="A1" s="217" t="str">
        <f>Indice!C1</f>
        <v>NICOLAS GONZALEZ ODDONE S.A.E.C.A</v>
      </c>
      <c r="B1" s="95"/>
      <c r="C1" s="219" t="s">
        <v>18</v>
      </c>
      <c r="D1" s="97"/>
      <c r="E1" s="94"/>
      <c r="F1" s="94"/>
    </row>
    <row r="2" spans="1:6">
      <c r="A2" s="94"/>
      <c r="B2" s="95"/>
      <c r="C2" s="95"/>
      <c r="D2" s="94"/>
      <c r="E2" s="94"/>
      <c r="F2" s="94"/>
    </row>
    <row r="3" spans="1:6" ht="15.75" customHeight="1">
      <c r="A3" s="957" t="s">
        <v>354</v>
      </c>
      <c r="B3" s="957"/>
      <c r="C3" s="957"/>
      <c r="D3" s="94"/>
      <c r="E3" s="94"/>
      <c r="F3" s="94"/>
    </row>
    <row r="4" spans="1:6">
      <c r="A4" s="987" t="s">
        <v>344</v>
      </c>
      <c r="B4" s="987"/>
      <c r="C4" s="95"/>
      <c r="D4" s="94"/>
      <c r="E4" s="94"/>
      <c r="F4" s="94"/>
    </row>
    <row r="5" spans="1:6">
      <c r="A5" s="96"/>
      <c r="B5" s="986"/>
      <c r="C5" s="986"/>
      <c r="D5" s="94"/>
      <c r="E5" s="94"/>
      <c r="F5" s="94"/>
    </row>
    <row r="6" spans="1:6" ht="12.75">
      <c r="A6" s="404" t="s">
        <v>345</v>
      </c>
      <c r="B6" s="720">
        <v>44834</v>
      </c>
      <c r="C6" s="720">
        <v>44561</v>
      </c>
      <c r="D6" s="94"/>
      <c r="E6" s="94"/>
      <c r="F6" s="94"/>
    </row>
    <row r="7" spans="1:6">
      <c r="A7" s="94" t="s">
        <v>355</v>
      </c>
      <c r="B7" s="95">
        <v>0</v>
      </c>
      <c r="C7" s="95">
        <v>66992777</v>
      </c>
      <c r="D7" s="94"/>
      <c r="E7" s="94"/>
      <c r="F7" s="94"/>
    </row>
    <row r="8" spans="1:6">
      <c r="A8" s="94" t="s">
        <v>356</v>
      </c>
      <c r="B8" s="95">
        <v>1778536724</v>
      </c>
      <c r="C8" s="95">
        <v>0</v>
      </c>
      <c r="D8" s="94"/>
      <c r="E8" s="94"/>
      <c r="F8" s="94"/>
    </row>
    <row r="9" spans="1:6" ht="11.25" customHeight="1">
      <c r="A9" s="94" t="s">
        <v>357</v>
      </c>
      <c r="B9" s="95">
        <v>0</v>
      </c>
      <c r="C9" s="95">
        <v>765072011</v>
      </c>
      <c r="D9" s="94"/>
      <c r="E9" s="94"/>
      <c r="F9" s="94"/>
    </row>
    <row r="10" spans="1:6">
      <c r="A10" s="94" t="s">
        <v>358</v>
      </c>
      <c r="B10" s="95">
        <v>5454865030</v>
      </c>
      <c r="C10" s="95">
        <v>4259592480</v>
      </c>
      <c r="D10" s="94"/>
      <c r="E10" s="94"/>
      <c r="F10" s="94"/>
    </row>
    <row r="11" spans="1:6" ht="11.25" customHeight="1">
      <c r="A11" s="94" t="s">
        <v>359</v>
      </c>
      <c r="B11" s="95">
        <v>0</v>
      </c>
      <c r="C11" s="95">
        <v>27301162574</v>
      </c>
      <c r="D11" s="94"/>
      <c r="E11" s="94"/>
      <c r="F11" s="94"/>
    </row>
    <row r="12" spans="1:6" ht="11.25" customHeight="1">
      <c r="A12" s="94" t="s">
        <v>360</v>
      </c>
      <c r="B12" s="95">
        <v>0</v>
      </c>
      <c r="C12" s="95">
        <v>7075243238</v>
      </c>
      <c r="D12" s="94"/>
      <c r="E12" s="94"/>
      <c r="F12" s="94"/>
    </row>
    <row r="13" spans="1:6" ht="11.25" customHeight="1">
      <c r="A13" s="94" t="s">
        <v>361</v>
      </c>
      <c r="B13" s="95">
        <v>2321009052</v>
      </c>
      <c r="C13" s="95">
        <v>3631517050</v>
      </c>
      <c r="D13" s="94"/>
      <c r="E13" s="94"/>
      <c r="F13" s="94"/>
    </row>
    <row r="14" spans="1:6" ht="11.25" customHeight="1">
      <c r="A14" s="94" t="s">
        <v>362</v>
      </c>
      <c r="B14" s="95">
        <v>1791924064</v>
      </c>
      <c r="C14" s="95">
        <v>0</v>
      </c>
      <c r="D14" s="94"/>
      <c r="E14" s="94"/>
      <c r="F14" s="94"/>
    </row>
    <row r="15" spans="1:6" ht="11.25" customHeight="1">
      <c r="A15" s="94" t="s">
        <v>363</v>
      </c>
      <c r="B15" s="95">
        <v>1829239576</v>
      </c>
      <c r="C15" s="95">
        <v>1765586335</v>
      </c>
      <c r="D15" s="94"/>
      <c r="E15" s="94"/>
      <c r="F15" s="94"/>
    </row>
    <row r="16" spans="1:6">
      <c r="A16" s="94" t="s">
        <v>364</v>
      </c>
      <c r="B16" s="95">
        <v>2035014796</v>
      </c>
      <c r="C16" s="95">
        <v>0</v>
      </c>
      <c r="D16" s="94"/>
      <c r="E16" s="94"/>
      <c r="F16" s="94"/>
    </row>
    <row r="17" spans="1:6">
      <c r="A17" s="94" t="s">
        <v>365</v>
      </c>
      <c r="B17" s="95">
        <v>2031969315</v>
      </c>
      <c r="C17" s="95">
        <v>0</v>
      </c>
      <c r="D17" s="94"/>
      <c r="E17" s="94"/>
      <c r="F17" s="94"/>
    </row>
    <row r="18" spans="1:6" ht="11.25" customHeight="1">
      <c r="A18" s="94" t="s">
        <v>366</v>
      </c>
      <c r="B18" s="95">
        <v>292787</v>
      </c>
      <c r="C18" s="95">
        <v>0</v>
      </c>
      <c r="D18" s="94"/>
      <c r="E18" s="94"/>
      <c r="F18" s="94"/>
    </row>
    <row r="19" spans="1:6" ht="11.25" customHeight="1">
      <c r="A19" s="94" t="s">
        <v>367</v>
      </c>
      <c r="B19" s="95">
        <v>3058403806</v>
      </c>
      <c r="C19" s="95">
        <v>0</v>
      </c>
      <c r="D19" s="94"/>
      <c r="E19" s="94"/>
      <c r="F19" s="94"/>
    </row>
    <row r="20" spans="1:6">
      <c r="A20" s="94" t="s">
        <v>368</v>
      </c>
      <c r="B20" s="95">
        <v>1415800000</v>
      </c>
      <c r="C20" s="95">
        <v>0</v>
      </c>
      <c r="D20" s="94"/>
      <c r="E20" s="94"/>
      <c r="F20" s="94"/>
    </row>
    <row r="21" spans="1:6">
      <c r="A21" s="94" t="s">
        <v>369</v>
      </c>
      <c r="B21" s="95">
        <v>1000000000</v>
      </c>
      <c r="C21" s="95">
        <v>0</v>
      </c>
      <c r="D21" s="94"/>
      <c r="E21" s="94"/>
      <c r="F21" s="94"/>
    </row>
    <row r="22" spans="1:6" ht="11.25" customHeight="1">
      <c r="A22" s="94" t="s">
        <v>370</v>
      </c>
      <c r="B22" s="940">
        <v>3708000000</v>
      </c>
      <c r="C22" s="95">
        <v>0</v>
      </c>
      <c r="D22" s="94"/>
      <c r="E22" s="94"/>
      <c r="F22" s="94"/>
    </row>
    <row r="23" spans="1:6" ht="12.75" thickBot="1">
      <c r="A23" s="93" t="s">
        <v>166</v>
      </c>
      <c r="B23" s="840">
        <f>SUM(B7:B22)</f>
        <v>26425055150</v>
      </c>
      <c r="C23" s="840">
        <f>SUM($C$7:C19)</f>
        <v>44865166465</v>
      </c>
      <c r="D23" s="94"/>
      <c r="E23" s="94"/>
      <c r="F23" s="94"/>
    </row>
    <row r="24" spans="1:6" ht="12.75" thickTop="1">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row r="67" spans="1:6">
      <c r="A67" s="94"/>
      <c r="B67" s="95"/>
      <c r="C67" s="95"/>
      <c r="D67" s="94"/>
      <c r="E67" s="94"/>
      <c r="F67" s="94"/>
    </row>
    <row r="68" spans="1:6">
      <c r="A68" s="94"/>
      <c r="B68" s="95"/>
      <c r="C68" s="95"/>
      <c r="D68" s="94"/>
      <c r="E68" s="94"/>
      <c r="F68" s="94"/>
    </row>
    <row r="69" spans="1:6">
      <c r="A69" s="94"/>
      <c r="B69" s="95"/>
      <c r="C69" s="95"/>
      <c r="D69" s="94"/>
      <c r="E69" s="94"/>
      <c r="F69" s="94"/>
    </row>
    <row r="70" spans="1:6">
      <c r="A70" s="94"/>
      <c r="B70" s="95"/>
      <c r="C70" s="95"/>
      <c r="D70" s="94"/>
      <c r="E70" s="94"/>
      <c r="F70" s="94"/>
    </row>
    <row r="71" spans="1:6">
      <c r="A71" s="94"/>
      <c r="B71" s="95"/>
      <c r="C71" s="95"/>
      <c r="D71" s="94"/>
      <c r="E71" s="94"/>
      <c r="F71" s="94"/>
    </row>
    <row r="72" spans="1:6">
      <c r="A72" s="94"/>
      <c r="B72" s="95"/>
      <c r="C72" s="95"/>
      <c r="D72" s="94"/>
      <c r="E72" s="94"/>
      <c r="F72" s="94"/>
    </row>
    <row r="73" spans="1:6">
      <c r="A73" s="94"/>
      <c r="B73" s="95"/>
      <c r="C73" s="95"/>
      <c r="D73" s="94"/>
      <c r="E73" s="94"/>
      <c r="F73" s="94"/>
    </row>
    <row r="74" spans="1:6">
      <c r="A74" s="94"/>
      <c r="B74" s="95"/>
      <c r="C74" s="95"/>
      <c r="D74" s="94"/>
      <c r="E74" s="94"/>
      <c r="F74" s="94"/>
    </row>
    <row r="75" spans="1:6">
      <c r="A75" s="94"/>
      <c r="B75" s="95"/>
      <c r="C75" s="95"/>
      <c r="D75" s="94"/>
      <c r="E75" s="94"/>
      <c r="F75" s="94"/>
    </row>
  </sheetData>
  <mergeCells count="3">
    <mergeCell ref="A3:C3"/>
    <mergeCell ref="B5:C5"/>
    <mergeCell ref="A4:B4"/>
  </mergeCells>
  <hyperlinks>
    <hyperlink ref="C1" location="BG!A1" display="BG" xr:uid="{00000000-0004-0000-0900-000000000000}"/>
  </hyperlinks>
  <pageMargins left="0.7" right="0.7" top="0.75" bottom="0.75" header="0.3" footer="0.3"/>
  <pageSetup orientation="portrait" r:id="rId1"/>
  <ignoredErrors>
    <ignoredError sqref="B23:C2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AD64"/>
  <sheetViews>
    <sheetView showGridLines="0" topLeftCell="A11" zoomScaleNormal="100" workbookViewId="0">
      <selection activeCell="B1" sqref="B1"/>
    </sheetView>
  </sheetViews>
  <sheetFormatPr baseColWidth="10" defaultColWidth="11.42578125" defaultRowHeight="12"/>
  <cols>
    <col min="1" max="1" width="36.5703125" style="6" customWidth="1"/>
    <col min="2" max="2" width="23.7109375" style="98" customWidth="1"/>
    <col min="3" max="3" width="19.85546875" style="98" customWidth="1"/>
    <col min="4" max="4" width="17.140625" style="6" customWidth="1"/>
    <col min="5" max="5" width="2.7109375" style="6" customWidth="1"/>
    <col min="6" max="6" width="29.28515625" style="6" customWidth="1"/>
    <col min="7" max="7" width="17.42578125" style="94" customWidth="1"/>
    <col min="8" max="8" width="14.5703125" style="94" customWidth="1"/>
    <col min="9" max="9" width="14.140625" style="94" customWidth="1"/>
    <col min="10" max="30" width="11.42578125" style="94"/>
    <col min="31" max="16384" width="11.42578125" style="6"/>
  </cols>
  <sheetData>
    <row r="1" spans="1:13" ht="17.25" customHeight="1">
      <c r="A1" s="217" t="str">
        <f>Indice!C1</f>
        <v>NICOLAS GONZALEZ ODDONE S.A.E.C.A</v>
      </c>
      <c r="B1" s="633" t="s">
        <v>18</v>
      </c>
      <c r="C1" s="219"/>
      <c r="D1" s="97"/>
      <c r="E1" s="94"/>
      <c r="F1" s="94"/>
    </row>
    <row r="2" spans="1:13">
      <c r="A2" s="94"/>
      <c r="B2" s="95"/>
      <c r="C2" s="95"/>
      <c r="D2" s="94"/>
      <c r="E2" s="94"/>
      <c r="F2" s="94"/>
    </row>
    <row r="3" spans="1:13" ht="16.5" customHeight="1">
      <c r="A3" s="957" t="s">
        <v>371</v>
      </c>
      <c r="B3" s="957"/>
      <c r="C3" s="957"/>
      <c r="D3" s="94"/>
      <c r="E3" s="94"/>
      <c r="F3" s="94"/>
    </row>
    <row r="4" spans="1:13">
      <c r="A4" s="987" t="s">
        <v>344</v>
      </c>
      <c r="B4" s="987"/>
      <c r="C4" s="95"/>
      <c r="D4" s="94"/>
      <c r="E4" s="94"/>
      <c r="F4" s="94"/>
    </row>
    <row r="5" spans="1:13">
      <c r="A5" s="149"/>
      <c r="B5" s="149"/>
      <c r="C5" s="95"/>
      <c r="D5" s="94"/>
      <c r="E5" s="94"/>
      <c r="F5" s="94"/>
      <c r="I5" s="95"/>
    </row>
    <row r="6" spans="1:13" ht="15" customHeight="1">
      <c r="A6" s="208"/>
      <c r="B6" s="208"/>
      <c r="C6" s="707">
        <v>44834</v>
      </c>
      <c r="D6" s="707">
        <v>44561</v>
      </c>
      <c r="E6" s="674"/>
      <c r="F6" s="677" t="s">
        <v>372</v>
      </c>
      <c r="G6" s="679">
        <v>305406548244</v>
      </c>
      <c r="H6" s="680">
        <v>0</v>
      </c>
      <c r="I6" s="841"/>
      <c r="J6" s="2"/>
      <c r="K6" s="2"/>
      <c r="L6" s="2"/>
      <c r="M6" s="2"/>
    </row>
    <row r="7" spans="1:13" ht="12.75">
      <c r="A7" s="676" t="s">
        <v>373</v>
      </c>
      <c r="B7" s="676" t="s">
        <v>374</v>
      </c>
      <c r="C7" s="938">
        <f>186434696615+817773863-C9</f>
        <v>159035360768</v>
      </c>
      <c r="D7" s="699">
        <v>177165732450</v>
      </c>
      <c r="E7" s="674"/>
      <c r="F7" s="678" t="s">
        <v>375</v>
      </c>
      <c r="G7" s="679">
        <v>7016573504</v>
      </c>
      <c r="H7" s="680">
        <v>0.13</v>
      </c>
      <c r="I7" s="841"/>
      <c r="J7" s="2"/>
      <c r="K7" s="2"/>
      <c r="L7" s="2"/>
      <c r="M7" s="2"/>
    </row>
    <row r="8" spans="1:13" ht="12.75">
      <c r="A8" s="676" t="s">
        <v>373</v>
      </c>
      <c r="B8" s="676" t="s">
        <v>376</v>
      </c>
      <c r="C8" s="938">
        <f>2721607064-C10-C14</f>
        <v>2547465362.96</v>
      </c>
      <c r="D8" s="699">
        <v>1745267445</v>
      </c>
      <c r="E8" s="674"/>
      <c r="F8" s="681" t="s">
        <v>377</v>
      </c>
      <c r="G8" s="679"/>
      <c r="H8" s="680"/>
      <c r="I8" s="672"/>
      <c r="J8" s="2"/>
      <c r="K8" s="2"/>
      <c r="L8" s="2"/>
      <c r="M8" s="2"/>
    </row>
    <row r="9" spans="1:13" s="6" customFormat="1" ht="12.75">
      <c r="A9" s="791" t="s">
        <v>378</v>
      </c>
      <c r="B9" s="791" t="s">
        <v>374</v>
      </c>
      <c r="C9" s="938">
        <v>28217109710</v>
      </c>
      <c r="D9" s="729">
        <v>24459574870</v>
      </c>
      <c r="E9" s="792"/>
      <c r="F9" s="793" t="s">
        <v>379</v>
      </c>
      <c r="G9" s="679"/>
      <c r="H9" s="680"/>
      <c r="I9" s="672"/>
    </row>
    <row r="10" spans="1:13" s="6" customFormat="1" ht="12.75">
      <c r="A10" s="791" t="s">
        <v>378</v>
      </c>
      <c r="B10" s="791" t="s">
        <v>376</v>
      </c>
      <c r="C10" s="938">
        <f>(22602.75+1997.01)*7079</f>
        <v>174141701.03999999</v>
      </c>
      <c r="D10" s="729">
        <v>2005145</v>
      </c>
      <c r="E10" s="792"/>
      <c r="F10" s="793" t="s">
        <v>380</v>
      </c>
      <c r="G10" s="679">
        <v>18572458562</v>
      </c>
      <c r="H10" s="680">
        <v>1</v>
      </c>
      <c r="I10" s="672"/>
    </row>
    <row r="11" spans="1:13" ht="12.75">
      <c r="A11" s="676" t="s">
        <v>381</v>
      </c>
      <c r="B11" s="676" t="s">
        <v>374</v>
      </c>
      <c r="C11" s="938">
        <f>947819320+99317217034</f>
        <v>100265036354</v>
      </c>
      <c r="D11" s="699">
        <v>84158318368</v>
      </c>
      <c r="E11" s="674"/>
      <c r="F11" s="682" t="s">
        <v>382</v>
      </c>
      <c r="G11" s="679">
        <v>18994351128</v>
      </c>
      <c r="H11" s="680">
        <v>1</v>
      </c>
      <c r="I11" s="673"/>
      <c r="J11" s="2"/>
      <c r="K11" s="2"/>
      <c r="L11" s="2"/>
      <c r="M11" s="2"/>
    </row>
    <row r="12" spans="1:13" ht="14.25" customHeight="1">
      <c r="A12" s="676" t="s">
        <v>383</v>
      </c>
      <c r="B12" s="676" t="s">
        <v>374</v>
      </c>
      <c r="C12" s="938">
        <v>1381949762</v>
      </c>
      <c r="D12" s="699">
        <v>670936790</v>
      </c>
      <c r="E12" s="674"/>
      <c r="F12" s="685" t="s">
        <v>384</v>
      </c>
      <c r="G12" s="686">
        <f>+G6+G7</f>
        <v>312423121748</v>
      </c>
      <c r="H12" s="687"/>
      <c r="I12" s="6"/>
      <c r="J12" s="2"/>
      <c r="K12" s="2"/>
      <c r="L12" s="2"/>
      <c r="M12" s="2"/>
    </row>
    <row r="13" spans="1:13" ht="12.75">
      <c r="A13" s="693" t="s">
        <v>385</v>
      </c>
      <c r="B13" s="676" t="s">
        <v>374</v>
      </c>
      <c r="C13" s="938">
        <v>46640207</v>
      </c>
      <c r="D13" s="699">
        <v>36733172</v>
      </c>
      <c r="E13" s="674"/>
      <c r="F13" s="677"/>
      <c r="G13" s="683"/>
      <c r="H13" s="684"/>
      <c r="I13" s="672"/>
      <c r="J13" s="2"/>
      <c r="K13" s="2"/>
      <c r="L13" s="2"/>
      <c r="M13" s="2"/>
    </row>
    <row r="14" spans="1:13" s="6" customFormat="1" ht="13.5" customHeight="1">
      <c r="A14" s="671" t="s">
        <v>386</v>
      </c>
      <c r="B14" s="791" t="s">
        <v>376</v>
      </c>
      <c r="C14" s="938">
        <v>0</v>
      </c>
      <c r="D14" s="729">
        <v>222180747</v>
      </c>
      <c r="E14" s="792"/>
      <c r="F14" s="794" t="s">
        <v>387</v>
      </c>
      <c r="G14" s="748">
        <v>-44511797156</v>
      </c>
      <c r="H14" s="795"/>
      <c r="I14" s="672"/>
    </row>
    <row r="15" spans="1:13" ht="13.5" customHeight="1">
      <c r="A15" s="693" t="s">
        <v>388</v>
      </c>
      <c r="B15" s="676" t="s">
        <v>389</v>
      </c>
      <c r="C15" s="938">
        <f>11268226961-7564867631</f>
        <v>3703359330</v>
      </c>
      <c r="D15" s="699">
        <v>3768676680</v>
      </c>
      <c r="E15" s="674"/>
      <c r="F15" s="677"/>
      <c r="G15" s="688"/>
      <c r="H15" s="689"/>
      <c r="I15" s="6"/>
      <c r="J15" s="2"/>
      <c r="K15" s="2"/>
      <c r="L15" s="2"/>
      <c r="M15" s="2"/>
    </row>
    <row r="16" spans="1:13" ht="13.5" customHeight="1">
      <c r="A16" s="676" t="s">
        <v>390</v>
      </c>
      <c r="B16" s="676"/>
      <c r="C16" s="938">
        <v>-6160605483</v>
      </c>
      <c r="D16" s="699">
        <v>-7276983876</v>
      </c>
      <c r="E16" s="674"/>
      <c r="F16" s="690" t="s">
        <v>391</v>
      </c>
      <c r="G16" s="691">
        <f>+G12+G14+G10+G11</f>
        <v>305478134282</v>
      </c>
      <c r="H16" s="686"/>
      <c r="I16" s="842"/>
      <c r="J16" s="2"/>
      <c r="K16" s="2"/>
      <c r="L16" s="2"/>
      <c r="M16" s="2"/>
    </row>
    <row r="17" spans="1:30" ht="12.75">
      <c r="A17" s="676" t="s">
        <v>166</v>
      </c>
      <c r="B17" s="676"/>
      <c r="C17" s="708">
        <f>SUM(C7:C16)</f>
        <v>289210457712</v>
      </c>
      <c r="D17" s="708">
        <f>SUM(D7:D16)</f>
        <v>284952441791</v>
      </c>
      <c r="E17" s="674"/>
      <c r="F17" s="677"/>
      <c r="G17" s="843"/>
      <c r="H17" s="692"/>
      <c r="I17" s="842"/>
      <c r="J17" s="2"/>
      <c r="K17" s="2"/>
      <c r="L17" s="2"/>
      <c r="M17" s="2"/>
    </row>
    <row r="18" spans="1:30" ht="12.75">
      <c r="B18" s="1"/>
      <c r="C18" s="709"/>
      <c r="D18" s="710"/>
      <c r="E18" s="674"/>
      <c r="F18" s="694" t="s">
        <v>392</v>
      </c>
      <c r="G18" s="695"/>
      <c r="H18" s="695"/>
      <c r="I18" s="842"/>
      <c r="J18" s="2"/>
      <c r="K18" s="2"/>
      <c r="L18" s="2"/>
      <c r="M18" s="2"/>
    </row>
    <row r="19" spans="1:30" ht="12.75">
      <c r="B19" s="1"/>
      <c r="C19" s="500"/>
      <c r="D19" s="63"/>
      <c r="E19" s="674"/>
      <c r="F19" s="696" t="s">
        <v>393</v>
      </c>
      <c r="G19" s="697" t="s">
        <v>394</v>
      </c>
      <c r="H19" s="697" t="s">
        <v>395</v>
      </c>
      <c r="I19" s="842"/>
      <c r="J19" s="2"/>
      <c r="K19" s="2"/>
      <c r="L19" s="2"/>
      <c r="M19" s="2"/>
    </row>
    <row r="20" spans="1:30" ht="12.75">
      <c r="B20" s="1"/>
      <c r="C20" s="500"/>
      <c r="D20" s="63"/>
      <c r="E20" s="674"/>
      <c r="F20" s="844" t="s">
        <v>379</v>
      </c>
      <c r="G20" s="845">
        <v>30</v>
      </c>
      <c r="H20" s="698">
        <v>60</v>
      </c>
      <c r="I20" s="164"/>
      <c r="J20" s="2"/>
      <c r="K20" s="2"/>
      <c r="L20" s="2"/>
      <c r="M20" s="2"/>
    </row>
    <row r="21" spans="1:30" ht="12.75">
      <c r="A21" s="1"/>
      <c r="B21" s="1"/>
      <c r="C21" s="500"/>
      <c r="D21" s="63"/>
      <c r="E21" s="674"/>
      <c r="F21" s="844" t="s">
        <v>396</v>
      </c>
      <c r="G21" s="846">
        <v>61</v>
      </c>
      <c r="H21" s="698">
        <v>150</v>
      </c>
      <c r="I21" s="6"/>
      <c r="J21" s="2"/>
      <c r="K21" s="2"/>
      <c r="L21" s="2"/>
      <c r="M21" s="2"/>
    </row>
    <row r="22" spans="1:30" ht="12.75">
      <c r="A22" s="1"/>
      <c r="B22" s="1"/>
      <c r="C22" s="63"/>
      <c r="D22" s="63"/>
      <c r="E22" s="674"/>
      <c r="F22" s="407" t="s">
        <v>382</v>
      </c>
      <c r="G22" s="408" t="s">
        <v>397</v>
      </c>
      <c r="H22" s="698"/>
      <c r="I22" s="6"/>
      <c r="J22" s="2"/>
      <c r="K22" s="2"/>
      <c r="L22" s="2"/>
      <c r="M22" s="2"/>
    </row>
    <row r="23" spans="1:30" ht="12.75">
      <c r="A23" s="675"/>
      <c r="B23" s="675"/>
      <c r="C23" s="986"/>
      <c r="D23" s="986"/>
      <c r="E23" s="674"/>
      <c r="F23" s="208"/>
      <c r="G23" s="700"/>
      <c r="H23" s="208"/>
      <c r="I23" s="6"/>
      <c r="J23" s="2"/>
      <c r="K23" s="2"/>
      <c r="L23" s="2"/>
      <c r="M23" s="2"/>
    </row>
    <row r="24" spans="1:30" ht="12.75">
      <c r="A24" s="208"/>
      <c r="B24" s="208"/>
      <c r="C24" s="707">
        <v>44834</v>
      </c>
      <c r="D24" s="707">
        <v>44561</v>
      </c>
      <c r="E24" s="674"/>
      <c r="F24" s="208"/>
      <c r="G24" s="701"/>
      <c r="H24" s="208"/>
      <c r="I24" s="6"/>
      <c r="J24" s="2"/>
      <c r="K24" s="2"/>
      <c r="L24" s="2"/>
      <c r="M24" s="2"/>
    </row>
    <row r="25" spans="1:30" ht="12.75">
      <c r="A25" s="676" t="s">
        <v>373</v>
      </c>
      <c r="B25" s="676" t="s">
        <v>374</v>
      </c>
      <c r="C25" s="729">
        <f>16949546846-C31</f>
        <v>826869628</v>
      </c>
      <c r="D25" s="699">
        <v>3947384616</v>
      </c>
      <c r="E25" s="208"/>
      <c r="F25" s="700"/>
      <c r="G25" s="208"/>
      <c r="H25" s="208"/>
      <c r="I25" s="6"/>
      <c r="J25" s="2"/>
      <c r="K25" s="2"/>
      <c r="L25" s="2"/>
      <c r="M25" s="2"/>
    </row>
    <row r="26" spans="1:30" ht="12.75">
      <c r="A26" s="676" t="s">
        <v>373</v>
      </c>
      <c r="B26" s="676" t="s">
        <v>376</v>
      </c>
      <c r="C26" s="729">
        <f>102511707-C43</f>
        <v>96852507</v>
      </c>
      <c r="D26" s="699">
        <v>903789813</v>
      </c>
      <c r="E26" s="208"/>
      <c r="F26" s="208"/>
      <c r="G26" s="208"/>
      <c r="H26" s="208"/>
      <c r="I26" s="6"/>
      <c r="J26" s="2"/>
      <c r="K26" s="2"/>
      <c r="L26" s="2"/>
      <c r="M26" s="2"/>
    </row>
    <row r="27" spans="1:30" ht="12.75" hidden="1" customHeight="1">
      <c r="A27" s="676" t="s">
        <v>373</v>
      </c>
      <c r="B27" s="676" t="s">
        <v>389</v>
      </c>
      <c r="C27" s="729"/>
      <c r="D27" s="699"/>
      <c r="E27" s="208"/>
      <c r="F27" s="208"/>
      <c r="G27" s="208"/>
      <c r="H27" s="208"/>
      <c r="I27" s="6"/>
      <c r="J27" s="2"/>
      <c r="K27" s="2"/>
      <c r="L27" s="2"/>
      <c r="M27" s="2"/>
    </row>
    <row r="28" spans="1:30" ht="12.75" hidden="1" customHeight="1">
      <c r="A28" s="676" t="s">
        <v>398</v>
      </c>
      <c r="B28" s="676" t="s">
        <v>374</v>
      </c>
      <c r="C28" s="729"/>
      <c r="D28" s="699"/>
      <c r="E28" s="208"/>
      <c r="F28" s="208"/>
      <c r="G28" s="208"/>
      <c r="H28" s="208"/>
      <c r="I28" s="6"/>
      <c r="J28" s="2"/>
      <c r="K28" s="2"/>
      <c r="L28" s="2"/>
      <c r="M28" s="2"/>
    </row>
    <row r="29" spans="1:30" ht="12.75" hidden="1" customHeight="1">
      <c r="A29" s="676" t="s">
        <v>398</v>
      </c>
      <c r="B29" s="676" t="s">
        <v>376</v>
      </c>
      <c r="C29" s="729"/>
      <c r="D29" s="699"/>
      <c r="E29" s="208"/>
      <c r="F29" s="208"/>
      <c r="G29" s="208"/>
      <c r="H29" s="208"/>
      <c r="I29" s="6"/>
    </row>
    <row r="30" spans="1:30" ht="12.75" hidden="1" customHeight="1">
      <c r="A30" s="676" t="s">
        <v>398</v>
      </c>
      <c r="B30" s="676" t="s">
        <v>389</v>
      </c>
      <c r="C30" s="729"/>
      <c r="D30" s="699"/>
      <c r="E30" s="208"/>
      <c r="F30" s="208"/>
      <c r="G30" s="208"/>
      <c r="H30" s="208"/>
      <c r="I30" s="6"/>
    </row>
    <row r="31" spans="1:30" ht="12.75" customHeight="1">
      <c r="A31" s="791" t="s">
        <v>378</v>
      </c>
      <c r="B31" s="791" t="s">
        <v>374</v>
      </c>
      <c r="C31" s="729">
        <v>16122677218</v>
      </c>
      <c r="D31" s="729">
        <v>20325677218</v>
      </c>
      <c r="E31" s="1"/>
      <c r="F31" s="1"/>
      <c r="G31" s="1"/>
      <c r="H31" s="1"/>
      <c r="I31" s="6"/>
      <c r="J31" s="6"/>
      <c r="K31" s="6"/>
      <c r="L31" s="6"/>
      <c r="M31" s="6"/>
      <c r="N31" s="6"/>
      <c r="O31" s="6"/>
      <c r="P31" s="6"/>
      <c r="Q31" s="6"/>
      <c r="R31" s="6"/>
      <c r="S31" s="6"/>
      <c r="T31" s="6"/>
      <c r="U31" s="6"/>
      <c r="V31" s="6"/>
      <c r="W31" s="6"/>
      <c r="X31" s="6"/>
      <c r="Y31" s="6"/>
      <c r="Z31" s="6"/>
      <c r="AA31" s="6"/>
      <c r="AB31" s="6"/>
      <c r="AC31" s="6"/>
      <c r="AD31" s="6"/>
    </row>
    <row r="32" spans="1:30" ht="12.75" hidden="1" customHeight="1">
      <c r="A32" s="776" t="s">
        <v>378</v>
      </c>
      <c r="B32" s="776" t="s">
        <v>376</v>
      </c>
      <c r="C32" s="777">
        <v>0</v>
      </c>
      <c r="D32" s="699">
        <v>0</v>
      </c>
      <c r="E32" s="208"/>
      <c r="F32" s="208"/>
      <c r="G32" s="208"/>
      <c r="H32" s="208"/>
    </row>
    <row r="33" spans="1:8" ht="12.75" hidden="1" customHeight="1">
      <c r="A33" s="676" t="s">
        <v>378</v>
      </c>
      <c r="B33" s="676" t="s">
        <v>389</v>
      </c>
      <c r="C33" s="729"/>
      <c r="D33" s="699"/>
      <c r="E33" s="208"/>
      <c r="F33" s="208"/>
      <c r="G33" s="208"/>
      <c r="H33" s="208"/>
    </row>
    <row r="34" spans="1:8" ht="12.75" hidden="1" customHeight="1">
      <c r="A34" s="676" t="s">
        <v>381</v>
      </c>
      <c r="B34" s="676" t="s">
        <v>374</v>
      </c>
      <c r="C34" s="729"/>
      <c r="D34" s="699"/>
      <c r="E34" s="208"/>
      <c r="F34" s="208"/>
      <c r="G34" s="208"/>
      <c r="H34" s="208"/>
    </row>
    <row r="35" spans="1:8" ht="12.75" hidden="1" customHeight="1">
      <c r="A35" s="676" t="s">
        <v>381</v>
      </c>
      <c r="B35" s="676" t="s">
        <v>376</v>
      </c>
      <c r="C35" s="729"/>
      <c r="D35" s="699"/>
      <c r="E35" s="208"/>
      <c r="F35" s="208"/>
      <c r="G35" s="208"/>
      <c r="H35" s="208"/>
    </row>
    <row r="36" spans="1:8" ht="12.75" hidden="1" customHeight="1">
      <c r="A36" s="676" t="s">
        <v>381</v>
      </c>
      <c r="B36" s="676" t="s">
        <v>389</v>
      </c>
      <c r="C36" s="729"/>
      <c r="D36" s="699"/>
      <c r="E36" s="208"/>
      <c r="F36" s="208"/>
      <c r="G36" s="208"/>
      <c r="H36" s="208"/>
    </row>
    <row r="37" spans="1:8" ht="12.75">
      <c r="A37" s="676" t="s">
        <v>399</v>
      </c>
      <c r="B37" s="676" t="s">
        <v>374</v>
      </c>
      <c r="C37" s="729">
        <f>18572458562+18994351128</f>
        <v>37566809690</v>
      </c>
      <c r="D37" s="699">
        <v>30450250197</v>
      </c>
      <c r="E37" s="208"/>
      <c r="F37" s="208"/>
      <c r="G37" s="208"/>
      <c r="H37" s="208"/>
    </row>
    <row r="38" spans="1:8" ht="12.75" hidden="1" customHeight="1">
      <c r="A38" s="676" t="s">
        <v>399</v>
      </c>
      <c r="B38" s="676" t="s">
        <v>376</v>
      </c>
      <c r="C38" s="729"/>
      <c r="D38" s="699"/>
      <c r="E38" s="208"/>
      <c r="F38" s="208"/>
      <c r="G38" s="208"/>
      <c r="H38" s="208"/>
    </row>
    <row r="39" spans="1:8" ht="12.75" hidden="1" customHeight="1">
      <c r="A39" s="676" t="s">
        <v>399</v>
      </c>
      <c r="B39" s="676" t="s">
        <v>389</v>
      </c>
      <c r="C39" s="729"/>
      <c r="D39" s="699"/>
      <c r="E39" s="208"/>
      <c r="F39" s="208"/>
      <c r="G39" s="208"/>
      <c r="H39" s="208"/>
    </row>
    <row r="40" spans="1:8" ht="12.75" hidden="1" customHeight="1">
      <c r="A40" s="676" t="s">
        <v>383</v>
      </c>
      <c r="B40" s="676" t="s">
        <v>374</v>
      </c>
      <c r="C40" s="729"/>
      <c r="D40" s="699"/>
      <c r="E40" s="208"/>
      <c r="F40" s="208"/>
      <c r="G40" s="208"/>
      <c r="H40" s="208"/>
    </row>
    <row r="41" spans="1:8" ht="12.75" hidden="1" customHeight="1">
      <c r="A41" s="676" t="s">
        <v>383</v>
      </c>
      <c r="B41" s="676" t="s">
        <v>376</v>
      </c>
      <c r="C41" s="729"/>
      <c r="D41" s="699"/>
      <c r="E41" s="208"/>
      <c r="F41" s="208"/>
      <c r="G41" s="208"/>
      <c r="H41" s="208"/>
    </row>
    <row r="42" spans="1:8" ht="12.75" hidden="1">
      <c r="A42" s="676" t="s">
        <v>388</v>
      </c>
      <c r="B42" s="676" t="s">
        <v>374</v>
      </c>
      <c r="C42" s="729"/>
      <c r="D42" s="699"/>
      <c r="E42" s="208"/>
      <c r="F42" s="208"/>
      <c r="G42" s="208"/>
      <c r="H42" s="208"/>
    </row>
    <row r="43" spans="1:8" ht="12.75">
      <c r="A43" s="693" t="s">
        <v>386</v>
      </c>
      <c r="B43" s="676" t="s">
        <v>376</v>
      </c>
      <c r="C43" s="729">
        <f>800*7074</f>
        <v>5659200</v>
      </c>
      <c r="D43" s="699">
        <v>3432000</v>
      </c>
      <c r="E43" s="208"/>
      <c r="F43" s="208"/>
      <c r="G43" s="208"/>
      <c r="H43" s="208"/>
    </row>
    <row r="44" spans="1:8" ht="12.75" hidden="1">
      <c r="A44" s="676" t="s">
        <v>388</v>
      </c>
      <c r="B44" s="676" t="s">
        <v>389</v>
      </c>
      <c r="C44" s="729">
        <v>0</v>
      </c>
      <c r="D44" s="699">
        <v>0</v>
      </c>
      <c r="E44" s="208"/>
      <c r="F44" s="208"/>
      <c r="G44" s="208"/>
      <c r="H44" s="208"/>
    </row>
    <row r="45" spans="1:8" ht="12.75">
      <c r="A45" s="676" t="s">
        <v>390</v>
      </c>
      <c r="B45" s="676"/>
      <c r="C45" s="729">
        <f>-784381983-18572458562-18994351128</f>
        <v>-38351191673</v>
      </c>
      <c r="D45" s="699">
        <v>-33962230333</v>
      </c>
      <c r="E45" s="208"/>
      <c r="F45" s="700"/>
      <c r="G45" s="701"/>
      <c r="H45" s="208"/>
    </row>
    <row r="46" spans="1:8" ht="12.75">
      <c r="A46" s="676" t="s">
        <v>166</v>
      </c>
      <c r="B46" s="676"/>
      <c r="C46" s="749">
        <f>SUM(C25:C45)</f>
        <v>16267676570</v>
      </c>
      <c r="D46" s="708">
        <f>SUM(D25:D45)</f>
        <v>21668303511</v>
      </c>
      <c r="E46" s="208"/>
      <c r="F46" s="208"/>
      <c r="G46" s="208"/>
      <c r="H46" s="208"/>
    </row>
    <row r="47" spans="1:8" ht="12.75">
      <c r="A47" s="208"/>
      <c r="B47" s="702"/>
      <c r="C47" s="702"/>
      <c r="D47" s="702"/>
      <c r="E47" s="208"/>
      <c r="F47" s="208"/>
      <c r="G47" s="208"/>
      <c r="H47" s="208"/>
    </row>
    <row r="48" spans="1:8" ht="12.75">
      <c r="A48" s="702"/>
      <c r="B48" s="702"/>
      <c r="C48" s="703"/>
      <c r="D48" s="702"/>
      <c r="E48" s="700"/>
      <c r="F48" s="700"/>
      <c r="G48" s="208"/>
      <c r="H48" s="208"/>
    </row>
    <row r="49" spans="1:8" ht="12.75">
      <c r="A49" s="702"/>
      <c r="B49" s="702"/>
      <c r="C49" s="703"/>
      <c r="D49" s="703"/>
      <c r="E49" s="702"/>
      <c r="F49" s="208"/>
      <c r="G49" s="208"/>
      <c r="H49" s="208"/>
    </row>
    <row r="50" spans="1:8" ht="12.75">
      <c r="A50" s="675"/>
      <c r="B50" s="675"/>
      <c r="C50" s="988"/>
      <c r="D50" s="966"/>
    </row>
    <row r="51" spans="1:8" ht="12.75">
      <c r="A51" s="1"/>
      <c r="B51" s="1"/>
      <c r="C51" s="970"/>
      <c r="D51" s="966"/>
    </row>
    <row r="52" spans="1:8" ht="12.75">
      <c r="A52" s="1"/>
      <c r="B52" s="1"/>
      <c r="C52" s="706"/>
      <c r="D52" s="706"/>
    </row>
    <row r="53" spans="1:8" ht="12.75">
      <c r="A53" s="1"/>
      <c r="B53" s="1"/>
      <c r="C53" s="500"/>
      <c r="D53" s="63"/>
    </row>
    <row r="54" spans="1:8" ht="12.75">
      <c r="A54" s="1"/>
      <c r="B54" s="1"/>
      <c r="C54" s="500"/>
      <c r="D54" s="63"/>
    </row>
    <row r="55" spans="1:8" ht="12.75">
      <c r="A55" s="1"/>
      <c r="B55" s="1"/>
      <c r="C55" s="500"/>
      <c r="D55" s="63"/>
    </row>
    <row r="56" spans="1:8" ht="12.75">
      <c r="A56" s="1"/>
      <c r="B56" s="1"/>
      <c r="C56" s="500"/>
      <c r="D56" s="63"/>
    </row>
    <row r="57" spans="1:8" ht="12.75">
      <c r="A57" s="1"/>
      <c r="B57" s="1"/>
      <c r="C57" s="1"/>
      <c r="D57" s="63"/>
    </row>
    <row r="58" spans="1:8" ht="12.75">
      <c r="A58" s="1"/>
      <c r="B58" s="1"/>
      <c r="C58" s="500"/>
      <c r="D58" s="63"/>
    </row>
    <row r="59" spans="1:8" ht="12.75">
      <c r="A59" s="1"/>
      <c r="B59" s="1"/>
      <c r="C59" s="500"/>
      <c r="D59" s="63"/>
    </row>
    <row r="60" spans="1:8" ht="12.75">
      <c r="B60" s="1"/>
      <c r="C60" s="500"/>
      <c r="D60" s="63"/>
    </row>
    <row r="61" spans="1:8" ht="12.75">
      <c r="B61" s="1"/>
      <c r="C61" s="500"/>
      <c r="D61" s="63"/>
    </row>
    <row r="62" spans="1:8" ht="12.75">
      <c r="B62" s="1"/>
      <c r="C62" s="500"/>
      <c r="D62" s="63"/>
    </row>
    <row r="63" spans="1:8" ht="12.75">
      <c r="A63" s="1"/>
      <c r="B63" s="1"/>
      <c r="C63" s="500"/>
      <c r="D63" s="63"/>
    </row>
    <row r="64" spans="1:8" ht="12.75">
      <c r="A64" s="1"/>
      <c r="B64" s="1"/>
      <c r="C64" s="710"/>
      <c r="D64" s="710"/>
    </row>
  </sheetData>
  <mergeCells count="5">
    <mergeCell ref="C50:D50"/>
    <mergeCell ref="C51:D51"/>
    <mergeCell ref="C23:D23"/>
    <mergeCell ref="A3:C3"/>
    <mergeCell ref="A4:B4"/>
  </mergeCells>
  <hyperlinks>
    <hyperlink ref="B1" location="BG!A1" display="BG" xr:uid="{B38E2A9A-96D7-45A9-BE56-EAD347C7EF48}"/>
  </hyperlinks>
  <pageMargins left="0.70866141732283472" right="0.70866141732283472" top="0.74803149606299213" bottom="0.74803149606299213" header="0.31496062992125984" footer="0.31496062992125984"/>
  <pageSetup paperSize="5" scale="80" orientation="portrait" horizontalDpi="0" verticalDpi="0" r:id="rId1"/>
  <ignoredErrors>
    <ignoredError sqref="D17 D4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90"/>
  <sheetViews>
    <sheetView showGridLines="0" workbookViewId="0">
      <selection activeCell="B1" sqref="B1"/>
    </sheetView>
  </sheetViews>
  <sheetFormatPr baseColWidth="10" defaultColWidth="11.42578125" defaultRowHeight="12"/>
  <cols>
    <col min="1" max="1" width="48" style="6" customWidth="1"/>
    <col min="2" max="2" width="15.7109375" style="6" customWidth="1"/>
    <col min="3" max="3" width="14.7109375" style="6" customWidth="1"/>
    <col min="4" max="4" width="3.42578125" style="6" bestFit="1" customWidth="1"/>
    <col min="5" max="5" width="30.28515625" style="6" customWidth="1"/>
    <col min="6" max="6" width="16.42578125" style="6" customWidth="1"/>
    <col min="7" max="7" width="16.85546875" style="6" customWidth="1"/>
    <col min="8" max="16384" width="11.42578125" style="6"/>
  </cols>
  <sheetData>
    <row r="1" spans="1:7" ht="18" customHeight="1">
      <c r="A1" s="221" t="str">
        <f>Indice!C1</f>
        <v>NICOLAS GONZALEZ ODDONE S.A.E.C.A</v>
      </c>
      <c r="B1" s="639" t="s">
        <v>18</v>
      </c>
      <c r="C1" s="222"/>
      <c r="D1" s="89"/>
    </row>
    <row r="2" spans="1:7">
      <c r="A2" s="102"/>
    </row>
    <row r="3" spans="1:7" ht="18" customHeight="1">
      <c r="A3" s="221" t="s">
        <v>400</v>
      </c>
      <c r="B3" s="221"/>
      <c r="C3" s="221"/>
      <c r="D3" s="255"/>
      <c r="E3" s="255"/>
      <c r="F3" s="255"/>
      <c r="G3" s="255"/>
    </row>
    <row r="4" spans="1:7">
      <c r="A4" s="149" t="s">
        <v>344</v>
      </c>
    </row>
    <row r="5" spans="1:7">
      <c r="A5" s="847"/>
    </row>
    <row r="6" spans="1:7" ht="12.75">
      <c r="A6" s="410" t="s">
        <v>345</v>
      </c>
      <c r="B6" s="624">
        <v>44834</v>
      </c>
      <c r="C6" s="626">
        <v>44561</v>
      </c>
      <c r="E6" s="221" t="s">
        <v>402</v>
      </c>
      <c r="F6" s="579"/>
      <c r="G6" s="579"/>
    </row>
    <row r="7" spans="1:7" ht="12.75">
      <c r="A7" s="166" t="s">
        <v>403</v>
      </c>
      <c r="B7" s="625"/>
      <c r="C7" s="627"/>
      <c r="E7" s="99" t="s">
        <v>404</v>
      </c>
      <c r="F7" s="107"/>
      <c r="G7" s="615"/>
    </row>
    <row r="8" spans="1:7" ht="12.75">
      <c r="A8" s="2" t="s">
        <v>405</v>
      </c>
      <c r="B8" s="104">
        <v>1736071</v>
      </c>
      <c r="C8" s="104">
        <v>0</v>
      </c>
      <c r="E8" s="410" t="s">
        <v>345</v>
      </c>
      <c r="F8" s="624">
        <v>44834</v>
      </c>
      <c r="G8" s="624">
        <v>44561</v>
      </c>
    </row>
    <row r="9" spans="1:7" ht="12.75">
      <c r="A9" s="2" t="s">
        <v>406</v>
      </c>
      <c r="B9" s="104">
        <v>191360000</v>
      </c>
      <c r="C9" s="340">
        <v>0</v>
      </c>
      <c r="E9" s="2" t="s">
        <v>408</v>
      </c>
      <c r="F9" s="933">
        <v>2131619483</v>
      </c>
      <c r="G9" s="933">
        <v>0</v>
      </c>
    </row>
    <row r="10" spans="1:7">
      <c r="A10" s="2" t="s">
        <v>409</v>
      </c>
      <c r="B10" s="105">
        <v>38247871</v>
      </c>
      <c r="C10" s="197">
        <v>52187870</v>
      </c>
      <c r="E10" s="2" t="s">
        <v>1414</v>
      </c>
      <c r="F10" s="616">
        <v>2520075614</v>
      </c>
      <c r="G10" s="617">
        <v>1890351611</v>
      </c>
    </row>
    <row r="11" spans="1:7" ht="12.75" thickBot="1">
      <c r="A11" s="2" t="s">
        <v>412</v>
      </c>
      <c r="B11" s="105">
        <v>13625720</v>
      </c>
      <c r="C11" s="116">
        <v>465923031</v>
      </c>
      <c r="E11" s="99" t="s">
        <v>410</v>
      </c>
      <c r="F11" s="848">
        <f>SUM(F9:F10)</f>
        <v>4651695097</v>
      </c>
      <c r="G11" s="848">
        <f>SUM(G10)</f>
        <v>1890351611</v>
      </c>
    </row>
    <row r="12" spans="1:7" ht="12.75" thickTop="1">
      <c r="A12" s="2" t="s">
        <v>414</v>
      </c>
      <c r="B12" s="108">
        <v>1056865</v>
      </c>
      <c r="C12" s="818">
        <v>0</v>
      </c>
      <c r="E12" s="99"/>
      <c r="F12" s="934"/>
      <c r="G12" s="114"/>
    </row>
    <row r="13" spans="1:7" hidden="1">
      <c r="A13" s="2" t="s">
        <v>411</v>
      </c>
      <c r="B13" s="105">
        <v>0</v>
      </c>
      <c r="C13" s="197">
        <v>0</v>
      </c>
      <c r="E13" s="99"/>
      <c r="F13" s="114"/>
      <c r="G13" s="114"/>
    </row>
    <row r="14" spans="1:7">
      <c r="A14" s="2" t="s">
        <v>407</v>
      </c>
      <c r="B14" s="104">
        <v>0</v>
      </c>
      <c r="C14" s="340">
        <v>727062141</v>
      </c>
      <c r="E14" s="99"/>
      <c r="F14" s="114"/>
      <c r="G14" s="114"/>
    </row>
    <row r="15" spans="1:7" hidden="1">
      <c r="A15" s="2" t="s">
        <v>413</v>
      </c>
      <c r="B15" s="108">
        <v>0</v>
      </c>
      <c r="C15" s="818">
        <v>0</v>
      </c>
    </row>
    <row r="16" spans="1:7" hidden="1">
      <c r="A16" s="2" t="s">
        <v>415</v>
      </c>
      <c r="B16" s="108">
        <v>0</v>
      </c>
      <c r="C16" s="197">
        <v>946871067</v>
      </c>
    </row>
    <row r="17" spans="1:7">
      <c r="A17" s="2" t="s">
        <v>416</v>
      </c>
      <c r="B17" s="108">
        <v>0</v>
      </c>
      <c r="C17" s="197">
        <v>74799416</v>
      </c>
    </row>
    <row r="18" spans="1:7">
      <c r="A18" s="6" t="s">
        <v>1413</v>
      </c>
      <c r="B18" s="98">
        <v>23578736</v>
      </c>
      <c r="C18" s="6">
        <v>0</v>
      </c>
      <c r="E18" s="111"/>
      <c r="F18" s="761"/>
      <c r="G18" s="778"/>
    </row>
    <row r="19" spans="1:7">
      <c r="A19" s="2" t="s">
        <v>417</v>
      </c>
      <c r="B19" s="105">
        <v>198798471</v>
      </c>
      <c r="C19" s="197">
        <v>223991071</v>
      </c>
      <c r="E19" s="111"/>
      <c r="F19" s="761"/>
      <c r="G19" s="778"/>
    </row>
    <row r="20" spans="1:7" ht="12.75">
      <c r="A20" s="2" t="s">
        <v>418</v>
      </c>
      <c r="B20" s="105">
        <v>15725842879</v>
      </c>
      <c r="C20" s="197">
        <v>1276586033</v>
      </c>
      <c r="E20" s="779"/>
      <c r="F20" s="625"/>
      <c r="G20" s="625"/>
    </row>
    <row r="21" spans="1:7" ht="12.75">
      <c r="A21" s="2" t="s">
        <v>419</v>
      </c>
      <c r="B21" s="105">
        <v>122989710</v>
      </c>
      <c r="C21" s="197">
        <v>130682918</v>
      </c>
      <c r="E21" s="111"/>
      <c r="F21" s="625"/>
      <c r="G21" s="625"/>
    </row>
    <row r="22" spans="1:7">
      <c r="A22" s="2" t="s">
        <v>420</v>
      </c>
      <c r="B22" s="105">
        <v>46950000</v>
      </c>
      <c r="C22" s="197">
        <v>32652381</v>
      </c>
      <c r="F22" s="780"/>
      <c r="G22" s="781"/>
    </row>
    <row r="23" spans="1:7">
      <c r="A23" s="2" t="s">
        <v>421</v>
      </c>
      <c r="B23" s="105">
        <v>79814763</v>
      </c>
      <c r="C23" s="197">
        <v>71736056</v>
      </c>
      <c r="E23" s="111"/>
      <c r="F23" s="201"/>
      <c r="G23" s="201"/>
    </row>
    <row r="24" spans="1:7">
      <c r="A24" s="2" t="s">
        <v>422</v>
      </c>
      <c r="B24" s="108">
        <v>17631762</v>
      </c>
      <c r="C24" s="197">
        <v>6680320</v>
      </c>
      <c r="E24" s="98"/>
      <c r="F24" s="780"/>
      <c r="G24" s="781"/>
    </row>
    <row r="25" spans="1:7" hidden="1">
      <c r="A25" s="6" t="s">
        <v>423</v>
      </c>
      <c r="B25" s="760">
        <v>0</v>
      </c>
      <c r="C25" s="98">
        <v>0</v>
      </c>
      <c r="E25" s="99"/>
      <c r="F25" s="114"/>
      <c r="G25" s="114"/>
    </row>
    <row r="26" spans="1:7">
      <c r="A26" s="2" t="s">
        <v>424</v>
      </c>
      <c r="B26" s="105">
        <v>195982115</v>
      </c>
      <c r="C26" s="197">
        <v>59219503</v>
      </c>
      <c r="E26" s="2"/>
    </row>
    <row r="27" spans="1:7">
      <c r="A27" s="2" t="s">
        <v>425</v>
      </c>
      <c r="B27" s="105">
        <v>172904575</v>
      </c>
      <c r="C27" s="197">
        <v>167653200</v>
      </c>
      <c r="E27" s="563"/>
    </row>
    <row r="28" spans="1:7">
      <c r="A28" s="2" t="s">
        <v>426</v>
      </c>
      <c r="B28" s="108">
        <v>0</v>
      </c>
      <c r="C28" s="197">
        <v>128112285</v>
      </c>
      <c r="E28" s="563"/>
      <c r="F28" s="107"/>
      <c r="G28" s="107"/>
    </row>
    <row r="29" spans="1:7">
      <c r="A29" s="2" t="s">
        <v>427</v>
      </c>
      <c r="B29" s="105">
        <v>90129040</v>
      </c>
      <c r="C29" s="197">
        <v>276344665</v>
      </c>
      <c r="E29" s="563"/>
      <c r="F29" s="107"/>
      <c r="G29" s="107"/>
    </row>
    <row r="30" spans="1:7">
      <c r="A30" s="2" t="s">
        <v>1412</v>
      </c>
      <c r="B30" s="105">
        <v>109121249</v>
      </c>
      <c r="C30" s="197">
        <v>0</v>
      </c>
      <c r="E30" s="563"/>
      <c r="F30" s="107"/>
      <c r="G30" s="107"/>
    </row>
    <row r="31" spans="1:7">
      <c r="A31" s="2" t="s">
        <v>428</v>
      </c>
      <c r="B31" s="108">
        <v>24039939</v>
      </c>
      <c r="C31" s="197">
        <v>4369602903</v>
      </c>
      <c r="E31" s="563"/>
      <c r="F31" s="107"/>
      <c r="G31" s="107"/>
    </row>
    <row r="32" spans="1:7">
      <c r="A32" s="2" t="s">
        <v>429</v>
      </c>
      <c r="B32" s="108">
        <v>0</v>
      </c>
      <c r="C32" s="197">
        <v>2733435003</v>
      </c>
      <c r="E32" s="99"/>
      <c r="F32" s="107"/>
      <c r="G32" s="107"/>
    </row>
    <row r="33" spans="1:7">
      <c r="A33" s="2" t="s">
        <v>1423</v>
      </c>
      <c r="B33" s="108">
        <v>18000000</v>
      </c>
      <c r="C33" s="197"/>
      <c r="E33" s="99"/>
      <c r="F33" s="107"/>
      <c r="G33" s="107"/>
    </row>
    <row r="34" spans="1:7">
      <c r="A34" s="2" t="s">
        <v>430</v>
      </c>
      <c r="B34" s="108">
        <v>9653182</v>
      </c>
      <c r="C34" s="197">
        <v>139982769</v>
      </c>
      <c r="E34" s="99"/>
      <c r="F34" s="107"/>
      <c r="G34" s="107"/>
    </row>
    <row r="35" spans="1:7">
      <c r="A35" s="2" t="s">
        <v>1424</v>
      </c>
      <c r="B35" s="108">
        <v>20432542</v>
      </c>
      <c r="C35" s="197">
        <v>0</v>
      </c>
      <c r="E35" s="99"/>
      <c r="F35" s="107"/>
      <c r="G35" s="107"/>
    </row>
    <row r="36" spans="1:7">
      <c r="A36" s="2" t="s">
        <v>431</v>
      </c>
      <c r="B36" s="108">
        <v>1156491656</v>
      </c>
      <c r="C36" s="197">
        <v>1892215188</v>
      </c>
      <c r="E36" s="597"/>
      <c r="F36" s="107"/>
      <c r="G36" s="107"/>
    </row>
    <row r="37" spans="1:7">
      <c r="A37" s="2" t="s">
        <v>432</v>
      </c>
      <c r="B37" s="133">
        <v>0</v>
      </c>
      <c r="C37" s="197">
        <v>701459616</v>
      </c>
      <c r="E37" s="99"/>
      <c r="F37" s="107"/>
      <c r="G37" s="107"/>
    </row>
    <row r="38" spans="1:7">
      <c r="A38" s="2" t="s">
        <v>433</v>
      </c>
      <c r="B38" s="108">
        <v>7079000000</v>
      </c>
      <c r="C38" s="197">
        <v>5304742872</v>
      </c>
      <c r="E38" s="563"/>
      <c r="F38" s="107"/>
      <c r="G38" s="107"/>
    </row>
    <row r="39" spans="1:7">
      <c r="A39" s="2" t="s">
        <v>434</v>
      </c>
      <c r="B39" s="108">
        <v>43684509</v>
      </c>
      <c r="C39" s="197">
        <v>73245744</v>
      </c>
      <c r="E39" s="563"/>
      <c r="F39" s="107"/>
      <c r="G39" s="107"/>
    </row>
    <row r="40" spans="1:7" hidden="1">
      <c r="A40" s="2" t="s">
        <v>435</v>
      </c>
      <c r="B40" s="133">
        <v>0</v>
      </c>
      <c r="C40" s="197">
        <v>0</v>
      </c>
      <c r="E40" s="99"/>
      <c r="F40" s="107"/>
      <c r="G40" s="107"/>
    </row>
    <row r="41" spans="1:7" hidden="1">
      <c r="A41" s="2" t="s">
        <v>436</v>
      </c>
      <c r="B41" s="133">
        <v>0</v>
      </c>
      <c r="C41" s="197">
        <v>0</v>
      </c>
      <c r="E41" s="99"/>
      <c r="F41" s="107"/>
      <c r="G41" s="107"/>
    </row>
    <row r="42" spans="1:7" hidden="1">
      <c r="A42" s="2" t="s">
        <v>437</v>
      </c>
      <c r="B42" s="133">
        <v>0</v>
      </c>
      <c r="C42" s="197">
        <v>0</v>
      </c>
      <c r="E42" s="99"/>
      <c r="F42" s="107"/>
      <c r="G42" s="107"/>
    </row>
    <row r="43" spans="1:7" hidden="1">
      <c r="A43" s="2" t="s">
        <v>436</v>
      </c>
      <c r="B43" s="133">
        <v>0</v>
      </c>
      <c r="C43" s="197">
        <v>0</v>
      </c>
      <c r="E43" s="99"/>
      <c r="F43" s="107"/>
      <c r="G43" s="107"/>
    </row>
    <row r="44" spans="1:7" hidden="1">
      <c r="A44" s="2" t="s">
        <v>438</v>
      </c>
      <c r="B44" s="108">
        <v>0</v>
      </c>
      <c r="C44" s="197">
        <v>0</v>
      </c>
      <c r="E44" s="99"/>
      <c r="F44" s="107"/>
      <c r="G44" s="107"/>
    </row>
    <row r="45" spans="1:7" hidden="1">
      <c r="A45" s="2" t="s">
        <v>439</v>
      </c>
      <c r="B45" s="133">
        <v>0</v>
      </c>
      <c r="C45" s="197">
        <v>0</v>
      </c>
      <c r="E45" s="99"/>
      <c r="F45" s="107"/>
      <c r="G45" s="107"/>
    </row>
    <row r="46" spans="1:7" ht="12.75" thickBot="1">
      <c r="A46" s="99" t="s">
        <v>166</v>
      </c>
      <c r="B46" s="849">
        <f>SUM($B$8:B45)</f>
        <v>25381071655</v>
      </c>
      <c r="C46" s="850">
        <f>SUM($C$8:C45)</f>
        <v>19855186052</v>
      </c>
      <c r="E46" s="98"/>
    </row>
    <row r="47" spans="1:7" ht="12.75" thickTop="1">
      <c r="A47" s="99"/>
      <c r="B47" s="109"/>
      <c r="C47" s="341"/>
      <c r="E47" s="215"/>
    </row>
    <row r="48" spans="1:7">
      <c r="B48" s="110"/>
      <c r="C48" s="117"/>
    </row>
    <row r="49" spans="1:7">
      <c r="A49" s="167" t="s">
        <v>440</v>
      </c>
      <c r="B49" s="112"/>
    </row>
    <row r="50" spans="1:7">
      <c r="A50" s="6" t="s">
        <v>441</v>
      </c>
      <c r="B50" s="113">
        <v>22158667</v>
      </c>
      <c r="C50" s="98">
        <v>41731243</v>
      </c>
    </row>
    <row r="51" spans="1:7">
      <c r="A51" s="6" t="s">
        <v>442</v>
      </c>
      <c r="B51" s="113">
        <v>185966221</v>
      </c>
      <c r="C51" s="98">
        <v>42582591</v>
      </c>
    </row>
    <row r="52" spans="1:7">
      <c r="A52" s="6" t="s">
        <v>443</v>
      </c>
      <c r="B52" s="113">
        <v>13177119</v>
      </c>
      <c r="C52" s="98">
        <v>12663573</v>
      </c>
    </row>
    <row r="53" spans="1:7">
      <c r="A53" s="6" t="s">
        <v>444</v>
      </c>
      <c r="B53" s="113">
        <v>210459939</v>
      </c>
      <c r="C53" s="98">
        <v>82550376</v>
      </c>
      <c r="E53" s="215"/>
    </row>
    <row r="54" spans="1:7">
      <c r="A54" s="99" t="s">
        <v>166</v>
      </c>
      <c r="B54" s="414">
        <f>SUM(B50:B53)</f>
        <v>431761946</v>
      </c>
      <c r="C54" s="415">
        <f>SUM(C50:C53)</f>
        <v>179527783</v>
      </c>
      <c r="E54" s="98"/>
    </row>
    <row r="55" spans="1:7" ht="12.75" thickBot="1">
      <c r="A55" s="99" t="s">
        <v>445</v>
      </c>
      <c r="B55" s="115">
        <f>+B46+B54</f>
        <v>25812833601</v>
      </c>
      <c r="C55" s="342">
        <f>+C46+C54</f>
        <v>20034713835</v>
      </c>
      <c r="E55" s="819"/>
      <c r="F55" s="842"/>
      <c r="G55" s="842"/>
    </row>
    <row r="56" spans="1:7" s="406" customFormat="1" ht="12.75" thickTop="1">
      <c r="A56" s="842"/>
      <c r="B56" s="851"/>
      <c r="C56" s="851"/>
      <c r="D56" s="842"/>
      <c r="E56" s="819"/>
      <c r="F56" s="842"/>
      <c r="G56" s="842"/>
    </row>
    <row r="57" spans="1:7" ht="10.5" customHeight="1">
      <c r="B57" s="113"/>
      <c r="C57" s="98"/>
      <c r="E57" s="98"/>
    </row>
    <row r="58" spans="1:7" s="406" customFormat="1">
      <c r="A58" s="221" t="s">
        <v>446</v>
      </c>
      <c r="B58" s="842"/>
      <c r="C58" s="842"/>
      <c r="D58" s="842"/>
      <c r="E58" s="842"/>
      <c r="F58" s="842"/>
      <c r="G58" s="842"/>
    </row>
    <row r="59" spans="1:7" s="406" customFormat="1">
      <c r="A59" s="149" t="s">
        <v>344</v>
      </c>
      <c r="B59" s="842"/>
      <c r="C59" s="842"/>
      <c r="D59" s="842"/>
      <c r="E59" s="842"/>
      <c r="F59" s="842"/>
      <c r="G59" s="842"/>
    </row>
    <row r="60" spans="1:7">
      <c r="A60" s="90"/>
    </row>
    <row r="61" spans="1:7">
      <c r="A61" s="410" t="s">
        <v>345</v>
      </c>
      <c r="B61" s="711">
        <v>44834</v>
      </c>
      <c r="C61" s="712">
        <v>44561</v>
      </c>
    </row>
    <row r="62" spans="1:7">
      <c r="A62" s="166" t="s">
        <v>447</v>
      </c>
      <c r="B62" s="411"/>
      <c r="C62" s="412"/>
    </row>
    <row r="63" spans="1:7">
      <c r="A63" s="2" t="s">
        <v>448</v>
      </c>
      <c r="B63" s="103">
        <v>95193095</v>
      </c>
      <c r="C63" s="340">
        <v>0</v>
      </c>
    </row>
    <row r="64" spans="1:7">
      <c r="A64" s="2" t="s">
        <v>449</v>
      </c>
      <c r="B64" s="103">
        <v>19999903</v>
      </c>
      <c r="C64" s="340">
        <v>0</v>
      </c>
    </row>
    <row r="65" spans="1:5">
      <c r="A65" s="2" t="s">
        <v>450</v>
      </c>
      <c r="B65" s="105">
        <v>190938529</v>
      </c>
      <c r="C65" s="340">
        <v>0</v>
      </c>
    </row>
    <row r="66" spans="1:5">
      <c r="A66" s="2" t="s">
        <v>451</v>
      </c>
      <c r="B66" s="105">
        <v>48751993</v>
      </c>
      <c r="C66" s="340">
        <v>0</v>
      </c>
    </row>
    <row r="67" spans="1:5">
      <c r="A67" s="2" t="s">
        <v>452</v>
      </c>
      <c r="B67" s="105">
        <v>37302058</v>
      </c>
      <c r="C67" s="340">
        <v>0</v>
      </c>
    </row>
    <row r="68" spans="1:5" ht="12.75" thickBot="1">
      <c r="A68" s="99" t="s">
        <v>453</v>
      </c>
      <c r="B68" s="849">
        <f>SUM(B63:B67)</f>
        <v>392185578</v>
      </c>
      <c r="C68" s="848">
        <f>SUM(C63:C67)</f>
        <v>0</v>
      </c>
    </row>
    <row r="69" spans="1:5" ht="12.75" thickTop="1"/>
    <row r="70" spans="1:5" hidden="1"/>
    <row r="71" spans="1:5" ht="13.5" hidden="1" customHeight="1"/>
    <row r="72" spans="1:5" ht="12.75" hidden="1">
      <c r="A72" s="410" t="s">
        <v>345</v>
      </c>
      <c r="B72" s="579">
        <v>44196</v>
      </c>
      <c r="C72" s="580">
        <v>43830</v>
      </c>
    </row>
    <row r="73" spans="1:5" hidden="1">
      <c r="A73" s="166" t="s">
        <v>454</v>
      </c>
      <c r="B73" s="411"/>
      <c r="C73" s="592"/>
    </row>
    <row r="74" spans="1:5" hidden="1">
      <c r="A74" s="6" t="s">
        <v>455</v>
      </c>
      <c r="B74" s="104">
        <v>0</v>
      </c>
      <c r="C74" s="340">
        <v>0</v>
      </c>
      <c r="E74" s="215"/>
    </row>
    <row r="75" spans="1:5" ht="12.75" hidden="1" thickBot="1">
      <c r="A75" s="99" t="s">
        <v>166</v>
      </c>
      <c r="B75" s="848">
        <f>SUM(B74:B74)</f>
        <v>0</v>
      </c>
      <c r="C75" s="848">
        <f>SUM(C74:C74)</f>
        <v>0</v>
      </c>
    </row>
    <row r="76" spans="1:5" ht="12.75" hidden="1" thickTop="1"/>
    <row r="77" spans="1:5" hidden="1"/>
    <row r="78" spans="1:5" hidden="1">
      <c r="A78" s="149" t="s">
        <v>344</v>
      </c>
      <c r="B78" s="842"/>
      <c r="C78" s="842"/>
    </row>
    <row r="79" spans="1:5" hidden="1">
      <c r="A79" s="847"/>
    </row>
    <row r="80" spans="1:5" hidden="1">
      <c r="A80" s="90" t="s">
        <v>401</v>
      </c>
    </row>
    <row r="81" spans="1:3" ht="15.75" hidden="1" customHeight="1">
      <c r="A81" s="410" t="s">
        <v>345</v>
      </c>
      <c r="B81" s="711">
        <v>44561</v>
      </c>
      <c r="C81" s="712">
        <v>44196</v>
      </c>
    </row>
    <row r="82" spans="1:3" hidden="1">
      <c r="A82" s="166" t="s">
        <v>447</v>
      </c>
      <c r="B82" s="411"/>
      <c r="C82" s="412"/>
    </row>
    <row r="83" spans="1:3" hidden="1">
      <c r="A83" s="2" t="s">
        <v>448</v>
      </c>
      <c r="B83" s="103">
        <v>0</v>
      </c>
      <c r="C83" s="340">
        <v>0</v>
      </c>
    </row>
    <row r="84" spans="1:3" hidden="1">
      <c r="A84" s="2" t="s">
        <v>449</v>
      </c>
      <c r="B84" s="103">
        <v>0</v>
      </c>
      <c r="C84" s="340">
        <v>0</v>
      </c>
    </row>
    <row r="85" spans="1:3" hidden="1">
      <c r="A85" s="2" t="s">
        <v>450</v>
      </c>
      <c r="B85" s="105">
        <v>0</v>
      </c>
      <c r="C85" s="340">
        <v>0</v>
      </c>
    </row>
    <row r="86" spans="1:3" hidden="1">
      <c r="A86" s="2" t="s">
        <v>456</v>
      </c>
      <c r="B86" s="105">
        <v>0</v>
      </c>
      <c r="C86" s="340">
        <v>0</v>
      </c>
    </row>
    <row r="87" spans="1:3" hidden="1">
      <c r="A87" s="2" t="s">
        <v>452</v>
      </c>
      <c r="B87" s="105">
        <v>0</v>
      </c>
      <c r="C87" s="340">
        <v>0</v>
      </c>
    </row>
    <row r="88" spans="1:3" ht="12.75" hidden="1" thickBot="1">
      <c r="A88" s="99" t="s">
        <v>166</v>
      </c>
      <c r="B88" s="849">
        <f>SUM(B83:B87)</f>
        <v>0</v>
      </c>
      <c r="C88" s="848">
        <f>SUM(C83:C87)</f>
        <v>0</v>
      </c>
    </row>
    <row r="89" spans="1:3" ht="12.75" hidden="1" thickTop="1"/>
    <row r="90" spans="1:3" hidden="1"/>
  </sheetData>
  <hyperlinks>
    <hyperlink ref="B1" location="BG!A1" display="BG" xr:uid="{28599CA6-A6E0-4F96-9119-DDD110416E02}"/>
  </hyperlinks>
  <pageMargins left="1.7716535433070868" right="0.70866141732283472" top="0.74803149606299213" bottom="0.74803149606299213" header="0.31496062992125984" footer="0.31496062992125984"/>
  <pageSetup paperSize="5" scale="70" orientation="landscape" r:id="rId1"/>
  <ignoredErrors>
    <ignoredError sqref="F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F36"/>
  <sheetViews>
    <sheetView showGridLines="0" topLeftCell="A14" workbookViewId="0"/>
  </sheetViews>
  <sheetFormatPr baseColWidth="10" defaultColWidth="11.42578125" defaultRowHeight="12"/>
  <cols>
    <col min="1" max="1" width="38.28515625" style="406" customWidth="1"/>
    <col min="2" max="2" width="17.85546875" style="406" customWidth="1"/>
    <col min="3" max="3" width="18.140625" style="406" customWidth="1"/>
    <col min="4" max="4" width="21.85546875" style="406" bestFit="1" customWidth="1"/>
    <col min="5" max="5" width="12.5703125" style="406" bestFit="1" customWidth="1"/>
    <col min="6" max="6" width="13.42578125" style="416" bestFit="1" customWidth="1"/>
    <col min="7" max="16384" width="11.42578125" style="406"/>
  </cols>
  <sheetData>
    <row r="1" spans="1:4" ht="18.75" customHeight="1">
      <c r="A1" s="217" t="str">
        <f>Indice!C1</f>
        <v>NICOLAS GONZALEZ ODDONE S.A.E.C.A</v>
      </c>
      <c r="B1" s="634" t="s">
        <v>18</v>
      </c>
      <c r="C1" s="224"/>
      <c r="D1" s="89"/>
    </row>
    <row r="3" spans="1:4" ht="16.5" customHeight="1">
      <c r="A3" s="225" t="s">
        <v>457</v>
      </c>
      <c r="B3" s="225"/>
      <c r="C3" s="225"/>
      <c r="D3" s="842"/>
    </row>
    <row r="4" spans="1:4">
      <c r="A4" s="2" t="s">
        <v>344</v>
      </c>
      <c r="B4" s="837"/>
      <c r="C4" s="842"/>
      <c r="D4" s="842"/>
    </row>
    <row r="5" spans="1:4" ht="15" customHeight="1">
      <c r="A5" s="99"/>
      <c r="B5" s="837"/>
      <c r="C5" s="837"/>
      <c r="D5" s="842"/>
    </row>
    <row r="6" spans="1:4" ht="12.75">
      <c r="A6" s="410" t="s">
        <v>345</v>
      </c>
      <c r="B6" s="579">
        <v>44834</v>
      </c>
      <c r="C6" s="579">
        <v>44561</v>
      </c>
      <c r="D6" s="842"/>
    </row>
    <row r="7" spans="1:4">
      <c r="A7" s="166" t="s">
        <v>403</v>
      </c>
      <c r="B7" s="411"/>
      <c r="C7" s="411"/>
      <c r="D7" s="842"/>
    </row>
    <row r="8" spans="1:4">
      <c r="A8" s="417" t="s">
        <v>458</v>
      </c>
      <c r="B8" s="105">
        <f>209070643870+109786019+294795457</f>
        <v>209475225346</v>
      </c>
      <c r="C8" s="343">
        <v>235648260611</v>
      </c>
      <c r="D8" s="842"/>
    </row>
    <row r="9" spans="1:4">
      <c r="A9" s="417" t="s">
        <v>459</v>
      </c>
      <c r="B9" s="105">
        <v>130080176122</v>
      </c>
      <c r="C9" s="343">
        <v>88464339100</v>
      </c>
      <c r="D9" s="842"/>
    </row>
    <row r="10" spans="1:4">
      <c r="A10" s="417" t="s">
        <v>460</v>
      </c>
      <c r="B10" s="593">
        <f>4283365821+9908904+978188572</f>
        <v>5271463297</v>
      </c>
      <c r="C10" s="343">
        <v>7156384349</v>
      </c>
      <c r="D10" s="842"/>
    </row>
    <row r="11" spans="1:4">
      <c r="A11" s="417" t="s">
        <v>461</v>
      </c>
      <c r="B11" s="108">
        <f>-1569223737-9908904-237900937</f>
        <v>-1817033578</v>
      </c>
      <c r="C11" s="343">
        <v>-2436474640</v>
      </c>
      <c r="D11" s="819"/>
    </row>
    <row r="12" spans="1:4">
      <c r="A12" s="417" t="s">
        <v>462</v>
      </c>
      <c r="B12" s="108">
        <v>15101364671</v>
      </c>
      <c r="C12" s="343">
        <v>11567562834</v>
      </c>
      <c r="D12" s="842"/>
    </row>
    <row r="13" spans="1:4">
      <c r="A13" s="417" t="s">
        <v>463</v>
      </c>
      <c r="B13" s="105">
        <v>6075886</v>
      </c>
      <c r="C13" s="344">
        <v>8091145</v>
      </c>
      <c r="D13" s="819"/>
    </row>
    <row r="14" spans="1:4">
      <c r="A14" s="417" t="s">
        <v>464</v>
      </c>
      <c r="B14" s="105">
        <f>890230684+19267201</f>
        <v>909497885</v>
      </c>
      <c r="C14" s="343">
        <v>1215755086</v>
      </c>
      <c r="D14" s="819"/>
    </row>
    <row r="15" spans="1:4">
      <c r="A15" s="418" t="s">
        <v>461</v>
      </c>
      <c r="B15" s="108">
        <f>-520645262-18956538</f>
        <v>-539601800</v>
      </c>
      <c r="C15" s="343">
        <v>-762581202</v>
      </c>
      <c r="D15" s="842"/>
    </row>
    <row r="16" spans="1:4">
      <c r="A16" s="418" t="s">
        <v>465</v>
      </c>
      <c r="B16" s="108">
        <v>123870892234</v>
      </c>
      <c r="C16" s="343">
        <v>199472402255</v>
      </c>
      <c r="D16" s="819"/>
    </row>
    <row r="17" spans="1:5">
      <c r="A17" s="418" t="s">
        <v>466</v>
      </c>
      <c r="B17" s="108">
        <v>18685698023</v>
      </c>
      <c r="C17" s="343">
        <v>12417199284</v>
      </c>
      <c r="D17" s="819"/>
      <c r="E17" s="842"/>
    </row>
    <row r="18" spans="1:5">
      <c r="A18" s="99" t="s">
        <v>467</v>
      </c>
      <c r="B18" s="852">
        <f>SUM(B8:B17)</f>
        <v>501043758086</v>
      </c>
      <c r="C18" s="853">
        <f>SUM(C8:C17)</f>
        <v>552750938822</v>
      </c>
      <c r="D18" s="842"/>
      <c r="E18" s="819"/>
    </row>
    <row r="19" spans="1:5">
      <c r="A19" s="842"/>
      <c r="B19" s="854"/>
      <c r="C19" s="851"/>
      <c r="D19" s="842"/>
      <c r="E19" s="819"/>
    </row>
    <row r="20" spans="1:5">
      <c r="A20" s="166" t="s">
        <v>468</v>
      </c>
      <c r="B20" s="854"/>
      <c r="C20" s="851"/>
      <c r="D20" s="842"/>
      <c r="E20" s="842"/>
    </row>
    <row r="21" spans="1:5">
      <c r="A21" s="99"/>
      <c r="B21" s="851"/>
      <c r="C21" s="851"/>
      <c r="D21" s="842"/>
      <c r="E21" s="842"/>
    </row>
    <row r="22" spans="1:5">
      <c r="A22" s="418" t="s">
        <v>469</v>
      </c>
      <c r="B22" s="108">
        <v>16215530805</v>
      </c>
      <c r="C22" s="343">
        <v>22243376935</v>
      </c>
      <c r="D22" s="842"/>
      <c r="E22" s="842"/>
    </row>
    <row r="23" spans="1:5" hidden="1">
      <c r="A23" s="418" t="s">
        <v>470</v>
      </c>
      <c r="B23" s="108">
        <v>0</v>
      </c>
      <c r="C23" s="598">
        <v>0</v>
      </c>
      <c r="D23" s="842"/>
      <c r="E23" s="842"/>
    </row>
    <row r="24" spans="1:5">
      <c r="A24" s="99" t="s">
        <v>467</v>
      </c>
      <c r="B24" s="852">
        <f>SUM(B22:B23)</f>
        <v>16215530805</v>
      </c>
      <c r="C24" s="855">
        <f>SUM(C22:C23)</f>
        <v>22243376935</v>
      </c>
      <c r="D24" s="819"/>
      <c r="E24" s="842"/>
    </row>
    <row r="25" spans="1:5" ht="12.75" thickBot="1">
      <c r="A25" s="99" t="s">
        <v>471</v>
      </c>
      <c r="B25" s="345">
        <f>+B18+B24</f>
        <v>517259288891</v>
      </c>
      <c r="C25" s="346">
        <f>+C18+C24</f>
        <v>574994315757</v>
      </c>
      <c r="D25" s="842"/>
      <c r="E25" s="842"/>
    </row>
    <row r="26" spans="1:5" ht="12.75" thickTop="1">
      <c r="A26" s="99"/>
      <c r="B26" s="110"/>
      <c r="C26" s="347"/>
      <c r="D26" s="842"/>
      <c r="E26" s="842"/>
    </row>
    <row r="27" spans="1:5">
      <c r="A27" s="99"/>
      <c r="B27" s="110"/>
      <c r="C27" s="347"/>
      <c r="D27" s="842"/>
      <c r="E27" s="842"/>
    </row>
    <row r="28" spans="1:5">
      <c r="A28" s="842"/>
      <c r="B28" s="851"/>
      <c r="C28" s="851"/>
      <c r="D28" s="842"/>
      <c r="E28" s="842"/>
    </row>
    <row r="29" spans="1:5">
      <c r="A29" s="166" t="s">
        <v>472</v>
      </c>
      <c r="B29" s="851"/>
      <c r="C29" s="851"/>
      <c r="D29" s="842"/>
      <c r="E29" s="842"/>
    </row>
    <row r="30" spans="1:5">
      <c r="A30" s="842"/>
      <c r="B30" s="851"/>
      <c r="C30" s="851"/>
      <c r="D30" s="842"/>
      <c r="E30" s="842"/>
    </row>
    <row r="31" spans="1:5">
      <c r="A31" s="6" t="s">
        <v>473</v>
      </c>
      <c r="B31" s="113">
        <f>3863974692+59055008</f>
        <v>3923029700</v>
      </c>
      <c r="C31" s="113">
        <v>3923029700</v>
      </c>
      <c r="D31" s="842"/>
      <c r="E31" s="842"/>
    </row>
    <row r="32" spans="1:5">
      <c r="A32" s="6" t="s">
        <v>474</v>
      </c>
      <c r="B32" s="419">
        <f>-989497179-54241896</f>
        <v>-1043739075</v>
      </c>
      <c r="C32" s="419">
        <v>-1043739075</v>
      </c>
      <c r="D32" s="842"/>
      <c r="E32" s="842"/>
    </row>
    <row r="33" spans="1:3">
      <c r="A33" s="99" t="s">
        <v>166</v>
      </c>
      <c r="B33" s="110">
        <f>SUM(B31:B32)</f>
        <v>2879290625</v>
      </c>
      <c r="C33" s="347">
        <f>SUM(C31:C32)</f>
        <v>2879290625</v>
      </c>
    </row>
    <row r="34" spans="1:3" ht="12.75" thickBot="1">
      <c r="A34" s="99" t="s">
        <v>475</v>
      </c>
      <c r="B34" s="345">
        <f>SUM(B33)</f>
        <v>2879290625</v>
      </c>
      <c r="C34" s="346">
        <f>SUM(C33)</f>
        <v>2879290625</v>
      </c>
    </row>
    <row r="35" spans="1:3" ht="12.75" thickTop="1">
      <c r="A35" s="117"/>
      <c r="B35" s="347"/>
      <c r="C35" s="347"/>
    </row>
    <row r="36" spans="1:3">
      <c r="A36" s="842"/>
      <c r="B36" s="851"/>
      <c r="C36" s="851"/>
    </row>
  </sheetData>
  <hyperlinks>
    <hyperlink ref="B1" location="BG!A1" display="BG" xr:uid="{F2D535F9-8985-4499-8FC9-96DF553C4628}"/>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E39"/>
  <sheetViews>
    <sheetView showGridLines="0" zoomScaleNormal="100" workbookViewId="0">
      <selection activeCell="B1" sqref="B1"/>
    </sheetView>
  </sheetViews>
  <sheetFormatPr baseColWidth="10" defaultColWidth="11.42578125" defaultRowHeight="12"/>
  <cols>
    <col min="1" max="1" width="38.42578125" style="94" customWidth="1"/>
    <col min="2" max="2" width="18.5703125" style="94" customWidth="1"/>
    <col min="3" max="3" width="17.85546875" style="94" customWidth="1"/>
    <col min="4" max="4" width="25.85546875" style="94" customWidth="1"/>
    <col min="5" max="6" width="26.140625" style="94" customWidth="1"/>
    <col min="7" max="7" width="0.42578125" style="94" customWidth="1"/>
    <col min="8" max="8" width="29.28515625" style="94" bestFit="1" customWidth="1"/>
    <col min="9" max="9" width="33" style="94" bestFit="1" customWidth="1"/>
    <col min="10" max="10" width="33" style="94" customWidth="1"/>
    <col min="11" max="11" width="34.7109375" style="94" customWidth="1"/>
    <col min="12" max="12" width="37.42578125" style="94" bestFit="1" customWidth="1"/>
    <col min="13" max="13" width="35.7109375" style="94" bestFit="1" customWidth="1"/>
    <col min="14" max="31" width="11.42578125" style="94"/>
    <col min="32" max="16384" width="11.42578125" style="6"/>
  </cols>
  <sheetData>
    <row r="1" spans="1:8" ht="18.75" customHeight="1">
      <c r="A1" s="217" t="str">
        <f>Indice!C1</f>
        <v>NICOLAS GONZALEZ ODDONE S.A.E.C.A</v>
      </c>
      <c r="B1" s="632" t="s">
        <v>18</v>
      </c>
      <c r="C1" s="227"/>
      <c r="D1" s="97"/>
    </row>
    <row r="3" spans="1:8" ht="3" customHeight="1"/>
    <row r="4" spans="1:8" ht="18" customHeight="1">
      <c r="A4" s="955" t="s">
        <v>476</v>
      </c>
      <c r="B4" s="955"/>
      <c r="C4" s="955"/>
      <c r="D4" s="955"/>
      <c r="E4" s="955"/>
      <c r="F4" s="955"/>
      <c r="G4" s="955"/>
    </row>
    <row r="5" spans="1:8" s="2" customFormat="1">
      <c r="A5" s="94" t="s">
        <v>113</v>
      </c>
      <c r="B5" s="94"/>
      <c r="C5" s="154"/>
      <c r="D5" s="154"/>
      <c r="E5" s="154"/>
      <c r="F5" s="154"/>
      <c r="G5" s="154"/>
    </row>
    <row r="6" spans="1:8" s="2" customFormat="1">
      <c r="A6" s="94"/>
      <c r="B6" s="94"/>
      <c r="C6" s="154"/>
      <c r="D6" s="154"/>
      <c r="E6" s="154"/>
      <c r="F6" s="154"/>
      <c r="G6" s="154"/>
    </row>
    <row r="7" spans="1:8" hidden="1">
      <c r="A7" s="94" t="s">
        <v>477</v>
      </c>
    </row>
    <row r="9" spans="1:8" ht="12.75">
      <c r="A9" s="420"/>
      <c r="B9" s="576">
        <v>44834</v>
      </c>
      <c r="C9" s="581">
        <v>44561</v>
      </c>
    </row>
    <row r="10" spans="1:8">
      <c r="A10" s="126" t="s">
        <v>478</v>
      </c>
      <c r="B10" s="323">
        <f>+C35</f>
        <v>64680028660</v>
      </c>
      <c r="C10" s="324">
        <v>64680028660</v>
      </c>
      <c r="D10" s="195"/>
    </row>
    <row r="11" spans="1:8">
      <c r="B11" s="545"/>
      <c r="C11" s="100"/>
    </row>
    <row r="12" spans="1:8">
      <c r="A12" s="94" t="s">
        <v>479</v>
      </c>
      <c r="D12" s="6"/>
      <c r="E12" s="6"/>
      <c r="F12" s="6"/>
    </row>
    <row r="13" spans="1:8" ht="12.75">
      <c r="D13" s="421">
        <f>IFERROR(IF([2]Indice!B6="","2XX2",YEAR([2]Indice!B6)),"2XX2")</f>
        <v>2020</v>
      </c>
      <c r="E13" s="582">
        <v>44834</v>
      </c>
      <c r="F13" s="856">
        <v>44561</v>
      </c>
    </row>
    <row r="14" spans="1:8" ht="15" customHeight="1">
      <c r="A14" s="857" t="s">
        <v>480</v>
      </c>
      <c r="B14" s="858" t="s">
        <v>481</v>
      </c>
      <c r="C14" s="857" t="s">
        <v>482</v>
      </c>
      <c r="D14" s="859" t="s">
        <v>483</v>
      </c>
      <c r="E14" s="860" t="s">
        <v>484</v>
      </c>
      <c r="F14" s="861"/>
    </row>
    <row r="15" spans="1:8" ht="12.75">
      <c r="A15" s="862" t="s">
        <v>485</v>
      </c>
      <c r="B15" s="736" t="s">
        <v>486</v>
      </c>
      <c r="C15" s="863">
        <v>17499</v>
      </c>
      <c r="D15" s="864">
        <f>10106849271+8094152832</f>
        <v>18201002103</v>
      </c>
      <c r="E15" s="766">
        <v>8094152832</v>
      </c>
      <c r="F15" s="865">
        <v>8094152832</v>
      </c>
    </row>
    <row r="16" spans="1:8" s="6" customFormat="1">
      <c r="A16" s="866" t="s">
        <v>487</v>
      </c>
      <c r="B16" s="736" t="s">
        <v>488</v>
      </c>
      <c r="C16" s="863">
        <v>45015</v>
      </c>
      <c r="D16" s="864">
        <f>35082885905+9146462934</f>
        <v>44229348839</v>
      </c>
      <c r="E16" s="867">
        <v>9146462934</v>
      </c>
      <c r="F16" s="868">
        <v>9146462934</v>
      </c>
      <c r="H16" s="94"/>
    </row>
    <row r="17" spans="1:31">
      <c r="A17" s="741" t="s">
        <v>489</v>
      </c>
      <c r="B17" s="742" t="s">
        <v>490</v>
      </c>
      <c r="C17" s="742">
        <v>291</v>
      </c>
      <c r="D17" s="869">
        <v>286657840</v>
      </c>
      <c r="E17" s="868">
        <v>-13342160</v>
      </c>
      <c r="F17" s="741">
        <v>-13342160</v>
      </c>
      <c r="G17" s="741"/>
      <c r="AE17" s="6"/>
    </row>
    <row r="18" spans="1:31">
      <c r="A18" s="741" t="s">
        <v>491</v>
      </c>
      <c r="B18" s="742" t="s">
        <v>492</v>
      </c>
      <c r="C18" s="742">
        <v>2020</v>
      </c>
      <c r="D18" s="869">
        <v>2018493037</v>
      </c>
      <c r="E18" s="868">
        <v>-11506963</v>
      </c>
      <c r="F18" s="741">
        <v>-11506963</v>
      </c>
      <c r="G18" s="741"/>
      <c r="AE18" s="6"/>
    </row>
    <row r="19" spans="1:31" hidden="1">
      <c r="A19" s="741"/>
      <c r="B19" s="742"/>
      <c r="C19" s="741"/>
      <c r="D19" s="869"/>
      <c r="E19" s="868"/>
      <c r="F19" s="741"/>
      <c r="G19" s="741"/>
      <c r="AE19" s="6"/>
    </row>
    <row r="20" spans="1:31" hidden="1">
      <c r="A20" s="741"/>
      <c r="B20" s="742"/>
      <c r="C20" s="741"/>
      <c r="D20" s="869"/>
      <c r="E20" s="868"/>
      <c r="F20" s="741"/>
      <c r="G20" s="741"/>
      <c r="AE20" s="6"/>
    </row>
    <row r="21" spans="1:31">
      <c r="A21" s="870" t="s">
        <v>467</v>
      </c>
      <c r="B21" s="746"/>
      <c r="C21" s="870"/>
      <c r="D21" s="871"/>
      <c r="E21" s="872">
        <f>SUM(E15:E20)</f>
        <v>17215766643</v>
      </c>
      <c r="F21" s="871">
        <f>SUM(F15:F20)</f>
        <v>17215766643</v>
      </c>
    </row>
    <row r="24" spans="1:31">
      <c r="A24" s="94" t="s">
        <v>493</v>
      </c>
      <c r="C24" s="244"/>
      <c r="J24" s="623"/>
    </row>
    <row r="25" spans="1:31" ht="15" customHeight="1">
      <c r="J25" s="623"/>
    </row>
    <row r="26" spans="1:31" ht="24">
      <c r="A26" s="857" t="s">
        <v>482</v>
      </c>
      <c r="B26" s="857" t="s">
        <v>494</v>
      </c>
      <c r="C26" s="857" t="s">
        <v>495</v>
      </c>
      <c r="D26" s="857" t="s">
        <v>496</v>
      </c>
      <c r="E26" s="857" t="s">
        <v>497</v>
      </c>
      <c r="F26" s="857" t="s">
        <v>498</v>
      </c>
      <c r="J26" s="623"/>
      <c r="K26" s="95"/>
    </row>
    <row r="27" spans="1:31">
      <c r="A27" s="863">
        <v>17477</v>
      </c>
      <c r="B27" s="671" t="s">
        <v>499</v>
      </c>
      <c r="C27" s="873">
        <f>17477000000+10000000000-9299659201</f>
        <v>18177340799</v>
      </c>
      <c r="D27" s="874">
        <f>+C27/D15</f>
        <v>0.9986999999304379</v>
      </c>
      <c r="E27" s="737">
        <f>D27*D15</f>
        <v>18177340799</v>
      </c>
      <c r="F27" s="737">
        <v>18177340799</v>
      </c>
      <c r="J27" s="623"/>
      <c r="K27" s="623"/>
    </row>
    <row r="28" spans="1:31">
      <c r="A28" s="863">
        <v>45006</v>
      </c>
      <c r="B28" s="671" t="s">
        <v>500</v>
      </c>
      <c r="C28" s="873">
        <f>45006000000-789919966</f>
        <v>44216080034</v>
      </c>
      <c r="D28" s="874">
        <f>+C28/D16</f>
        <v>0.99969999999212511</v>
      </c>
      <c r="E28" s="868">
        <f>D28*D16</f>
        <v>44216080034</v>
      </c>
      <c r="F28" s="868">
        <v>44216080034</v>
      </c>
      <c r="G28" s="6"/>
      <c r="J28" s="623"/>
    </row>
    <row r="29" spans="1:31">
      <c r="A29" s="863">
        <v>291</v>
      </c>
      <c r="B29" s="671" t="s">
        <v>500</v>
      </c>
      <c r="C29" s="744">
        <f>291000000-12941895</f>
        <v>278058105</v>
      </c>
      <c r="D29" s="874">
        <f>+C29/D17</f>
        <v>0.97000000069769587</v>
      </c>
      <c r="E29" s="868">
        <f>D29*D17</f>
        <v>278058105</v>
      </c>
      <c r="F29" s="868">
        <v>278058105</v>
      </c>
    </row>
    <row r="30" spans="1:31">
      <c r="A30" s="863">
        <v>2020</v>
      </c>
      <c r="B30" s="671" t="s">
        <v>500</v>
      </c>
      <c r="C30" s="744">
        <f>2020000000-11450278</f>
        <v>2008549722</v>
      </c>
      <c r="D30" s="874">
        <f>+C30/D18</f>
        <v>0.99507389185014072</v>
      </c>
      <c r="E30" s="868">
        <f>D30*D18</f>
        <v>2008549722</v>
      </c>
      <c r="F30" s="868">
        <v>2008549722</v>
      </c>
    </row>
    <row r="31" spans="1:31" hidden="1">
      <c r="A31" s="741"/>
      <c r="B31" s="737"/>
      <c r="C31" s="744"/>
      <c r="D31" s="874" t="e">
        <f t="shared" ref="D31:D32" si="0">+C31/D19</f>
        <v>#DIV/0!</v>
      </c>
      <c r="E31" s="737">
        <f>C31*D19</f>
        <v>0</v>
      </c>
      <c r="F31" s="868">
        <v>0</v>
      </c>
    </row>
    <row r="32" spans="1:31" hidden="1">
      <c r="A32" s="738"/>
      <c r="B32" s="739"/>
      <c r="C32" s="743"/>
      <c r="D32" s="874" t="e">
        <f t="shared" si="0"/>
        <v>#DIV/0!</v>
      </c>
      <c r="E32" s="739">
        <f>C32*D20</f>
        <v>0</v>
      </c>
    </row>
    <row r="33" spans="1:6" hidden="1">
      <c r="A33" s="742">
        <v>0</v>
      </c>
      <c r="B33" s="671"/>
      <c r="C33" s="744">
        <f>+A33*1000000</f>
        <v>0</v>
      </c>
      <c r="D33" s="874">
        <f>+C33/D17</f>
        <v>0</v>
      </c>
      <c r="E33" s="737">
        <v>0</v>
      </c>
      <c r="F33" s="868">
        <f>+D33*E21</f>
        <v>0</v>
      </c>
    </row>
    <row r="34" spans="1:6" hidden="1">
      <c r="A34" s="742">
        <v>0</v>
      </c>
      <c r="B34" s="671"/>
      <c r="C34" s="744">
        <f>+A34*1000000</f>
        <v>0</v>
      </c>
      <c r="D34" s="874">
        <f>+C34/D18</f>
        <v>0</v>
      </c>
      <c r="E34" s="737">
        <v>0</v>
      </c>
      <c r="F34" s="868">
        <f>+D34*E22</f>
        <v>0</v>
      </c>
    </row>
    <row r="35" spans="1:6">
      <c r="C35" s="767">
        <f>SUM(C27:C34)</f>
        <v>64680028660</v>
      </c>
      <c r="D35" s="6"/>
      <c r="E35" s="767">
        <f>SUM(E27:E32)</f>
        <v>64680028660</v>
      </c>
      <c r="F35" s="740">
        <f>SUM(F27:F32)</f>
        <v>64680028660</v>
      </c>
    </row>
    <row r="38" spans="1:6">
      <c r="E38" s="95"/>
    </row>
    <row r="39" spans="1:6">
      <c r="E39" s="95"/>
    </row>
  </sheetData>
  <mergeCells count="1">
    <mergeCell ref="A4:G4"/>
  </mergeCells>
  <hyperlinks>
    <hyperlink ref="B1" location="BG!A1" display="BG" xr:uid="{FCDB65D5-9500-4356-A034-1100E013C9E7}"/>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68"/>
  <sheetViews>
    <sheetView showGridLines="0" topLeftCell="A10" zoomScale="90" zoomScaleNormal="90" workbookViewId="0">
      <pane ySplit="6" topLeftCell="A16" activePane="bottomLeft" state="frozen"/>
      <selection activeCell="A10" sqref="A10"/>
      <selection pane="bottomLeft" activeCell="B10" sqref="B10"/>
    </sheetView>
  </sheetViews>
  <sheetFormatPr baseColWidth="10" defaultColWidth="11.42578125" defaultRowHeight="12"/>
  <cols>
    <col min="1" max="1" width="44.5703125" style="422" customWidth="1"/>
    <col min="2" max="2" width="16.42578125" style="422" customWidth="1"/>
    <col min="3" max="3" width="15.42578125" style="422" customWidth="1"/>
    <col min="4" max="4" width="15.28515625" style="422" customWidth="1"/>
    <col min="5" max="5" width="0.140625" style="422" customWidth="1"/>
    <col min="6" max="6" width="15.28515625" style="422" customWidth="1"/>
    <col min="7" max="7" width="14.5703125" style="422" customWidth="1"/>
    <col min="8" max="8" width="15.7109375" style="422" customWidth="1"/>
    <col min="9" max="9" width="12.7109375" style="422" customWidth="1"/>
    <col min="10" max="10" width="14.28515625" style="422" hidden="1" customWidth="1"/>
    <col min="11" max="11" width="13.85546875" style="422" customWidth="1"/>
    <col min="12" max="12" width="16.7109375" style="422" customWidth="1"/>
    <col min="13" max="13" width="15.42578125" style="422" customWidth="1"/>
    <col min="14" max="14" width="15.42578125" style="568" bestFit="1" customWidth="1"/>
    <col min="15" max="15" width="14.42578125" style="422" bestFit="1" customWidth="1"/>
    <col min="16" max="30" width="11.42578125" style="422"/>
    <col min="31" max="16384" width="11.42578125" style="406"/>
  </cols>
  <sheetData>
    <row r="1" spans="1:102" hidden="1">
      <c r="A1" s="67" t="s">
        <v>501</v>
      </c>
      <c r="B1" s="834"/>
      <c r="C1" s="834"/>
      <c r="D1" s="834"/>
      <c r="E1" s="834"/>
      <c r="F1" s="834"/>
      <c r="G1" s="834"/>
      <c r="H1" s="834"/>
      <c r="I1" s="834"/>
      <c r="J1" s="834"/>
      <c r="K1" s="834"/>
      <c r="L1" s="834"/>
      <c r="M1" s="834"/>
      <c r="N1" s="875"/>
      <c r="O1" s="834"/>
      <c r="P1" s="834"/>
      <c r="Q1" s="834"/>
      <c r="R1" s="834"/>
      <c r="S1" s="834"/>
      <c r="T1" s="834"/>
      <c r="U1" s="834"/>
      <c r="V1" s="834"/>
      <c r="W1" s="834"/>
      <c r="X1" s="834"/>
      <c r="Y1" s="834"/>
      <c r="Z1" s="834"/>
      <c r="AA1" s="834"/>
      <c r="AB1" s="834"/>
      <c r="AC1" s="834"/>
      <c r="AD1" s="834"/>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2"/>
      <c r="BZ1" s="842"/>
      <c r="CA1" s="842"/>
      <c r="CB1" s="842"/>
      <c r="CC1" s="842"/>
      <c r="CD1" s="842"/>
      <c r="CE1" s="842"/>
      <c r="CF1" s="842"/>
      <c r="CG1" s="842"/>
      <c r="CH1" s="842"/>
      <c r="CI1" s="842"/>
      <c r="CJ1" s="842"/>
      <c r="CK1" s="842"/>
      <c r="CL1" s="842"/>
      <c r="CM1" s="842"/>
      <c r="CN1" s="842"/>
      <c r="CO1" s="842"/>
      <c r="CP1" s="842"/>
      <c r="CQ1" s="842"/>
      <c r="CR1" s="842"/>
      <c r="CS1" s="842"/>
      <c r="CT1" s="842"/>
      <c r="CU1" s="842"/>
      <c r="CV1" s="842"/>
      <c r="CW1" s="842"/>
      <c r="CX1" s="842"/>
    </row>
    <row r="2" spans="1:102" hidden="1">
      <c r="A2" s="834" t="s">
        <v>502</v>
      </c>
      <c r="B2" s="834"/>
      <c r="C2" s="834"/>
      <c r="D2" s="834"/>
      <c r="E2" s="834"/>
      <c r="F2" s="834"/>
      <c r="G2" s="834"/>
      <c r="H2" s="834"/>
      <c r="I2" s="834"/>
      <c r="J2" s="834"/>
      <c r="K2" s="834"/>
      <c r="L2" s="834"/>
      <c r="M2" s="834"/>
      <c r="N2" s="875"/>
      <c r="O2" s="834"/>
      <c r="P2" s="834"/>
      <c r="Q2" s="834"/>
      <c r="R2" s="834"/>
      <c r="S2" s="834"/>
      <c r="T2" s="834"/>
      <c r="U2" s="834"/>
      <c r="V2" s="834"/>
      <c r="W2" s="834"/>
      <c r="X2" s="834"/>
      <c r="Y2" s="834"/>
      <c r="Z2" s="834"/>
      <c r="AA2" s="834"/>
      <c r="AB2" s="834"/>
      <c r="AC2" s="834"/>
      <c r="AD2" s="834"/>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R2" s="842"/>
      <c r="BS2" s="842"/>
      <c r="BT2" s="842"/>
      <c r="BU2" s="842"/>
      <c r="BV2" s="842"/>
      <c r="BW2" s="842"/>
      <c r="BX2" s="842"/>
      <c r="BY2" s="842"/>
      <c r="BZ2" s="842"/>
      <c r="CA2" s="842"/>
      <c r="CB2" s="842"/>
      <c r="CC2" s="842"/>
      <c r="CD2" s="842"/>
      <c r="CE2" s="842"/>
      <c r="CF2" s="842"/>
      <c r="CG2" s="842"/>
      <c r="CH2" s="842"/>
      <c r="CI2" s="842"/>
      <c r="CJ2" s="842"/>
      <c r="CK2" s="842"/>
      <c r="CL2" s="842"/>
      <c r="CM2" s="842"/>
      <c r="CN2" s="842"/>
      <c r="CO2" s="842"/>
      <c r="CP2" s="842"/>
      <c r="CQ2" s="842"/>
      <c r="CR2" s="842"/>
      <c r="CS2" s="842"/>
      <c r="CT2" s="842"/>
      <c r="CU2" s="842"/>
      <c r="CV2" s="842"/>
      <c r="CW2" s="842"/>
      <c r="CX2" s="842"/>
    </row>
    <row r="3" spans="1:102" hidden="1">
      <c r="A3" s="834" t="s">
        <v>503</v>
      </c>
      <c r="B3" s="834"/>
      <c r="C3" s="834"/>
      <c r="D3" s="834"/>
      <c r="E3" s="834"/>
      <c r="F3" s="834"/>
      <c r="G3" s="834"/>
      <c r="H3" s="834"/>
      <c r="I3" s="834"/>
      <c r="J3" s="834"/>
      <c r="K3" s="834"/>
      <c r="L3" s="834"/>
      <c r="M3" s="834"/>
      <c r="N3" s="875"/>
      <c r="O3" s="834"/>
      <c r="P3" s="834"/>
      <c r="Q3" s="834"/>
      <c r="R3" s="834"/>
      <c r="S3" s="834"/>
      <c r="T3" s="834"/>
      <c r="U3" s="834"/>
      <c r="V3" s="834"/>
      <c r="W3" s="834"/>
      <c r="X3" s="834"/>
      <c r="Y3" s="834"/>
      <c r="Z3" s="834"/>
      <c r="AA3" s="834"/>
      <c r="AB3" s="834"/>
      <c r="AC3" s="834"/>
      <c r="AD3" s="834"/>
      <c r="AE3" s="842"/>
      <c r="AF3" s="842"/>
      <c r="AG3" s="842"/>
      <c r="AH3" s="842"/>
      <c r="AI3" s="842"/>
      <c r="AJ3" s="842"/>
      <c r="AK3" s="842"/>
      <c r="AL3" s="842"/>
      <c r="AM3" s="842"/>
      <c r="AN3" s="842"/>
      <c r="AO3" s="842"/>
      <c r="AP3" s="842"/>
      <c r="AQ3" s="842"/>
      <c r="AR3" s="842"/>
      <c r="AS3" s="842"/>
      <c r="AT3" s="842"/>
      <c r="AU3" s="842"/>
      <c r="AV3" s="842"/>
      <c r="AW3" s="842"/>
      <c r="AX3" s="842"/>
      <c r="AY3" s="842"/>
      <c r="AZ3" s="842"/>
      <c r="BA3" s="842"/>
      <c r="BB3" s="842"/>
      <c r="BC3" s="842"/>
      <c r="BD3" s="842"/>
      <c r="BE3" s="842"/>
      <c r="BF3" s="842"/>
      <c r="BG3" s="842"/>
      <c r="BH3" s="842"/>
      <c r="BI3" s="842"/>
      <c r="BJ3" s="842"/>
      <c r="BK3" s="842"/>
      <c r="BL3" s="842"/>
      <c r="BM3" s="842"/>
      <c r="BN3" s="842"/>
      <c r="BO3" s="842"/>
      <c r="BP3" s="842"/>
      <c r="BQ3" s="842"/>
      <c r="BR3" s="842"/>
      <c r="BS3" s="842"/>
      <c r="BT3" s="842"/>
      <c r="BU3" s="842"/>
      <c r="BV3" s="842"/>
      <c r="BW3" s="842"/>
      <c r="BX3" s="842"/>
      <c r="BY3" s="842"/>
      <c r="BZ3" s="842"/>
      <c r="CA3" s="842"/>
      <c r="CB3" s="842"/>
      <c r="CC3" s="842"/>
      <c r="CD3" s="842"/>
      <c r="CE3" s="842"/>
      <c r="CF3" s="842"/>
      <c r="CG3" s="842"/>
      <c r="CH3" s="842"/>
      <c r="CI3" s="842"/>
      <c r="CJ3" s="842"/>
      <c r="CK3" s="842"/>
      <c r="CL3" s="842"/>
      <c r="CM3" s="842"/>
      <c r="CN3" s="842"/>
      <c r="CO3" s="842"/>
      <c r="CP3" s="842"/>
      <c r="CQ3" s="842"/>
      <c r="CR3" s="842"/>
      <c r="CS3" s="842"/>
      <c r="CT3" s="842"/>
      <c r="CU3" s="842"/>
      <c r="CV3" s="842"/>
      <c r="CW3" s="842"/>
      <c r="CX3" s="842"/>
    </row>
    <row r="4" spans="1:102" hidden="1">
      <c r="A4" s="834" t="s">
        <v>504</v>
      </c>
      <c r="B4" s="834"/>
      <c r="C4" s="834"/>
      <c r="D4" s="834"/>
      <c r="E4" s="834"/>
      <c r="F4" s="834"/>
      <c r="G4" s="834"/>
      <c r="H4" s="834"/>
      <c r="I4" s="834"/>
      <c r="J4" s="834"/>
      <c r="K4" s="834"/>
      <c r="L4" s="834"/>
      <c r="M4" s="834"/>
      <c r="N4" s="875"/>
      <c r="O4" s="834"/>
      <c r="P4" s="834"/>
      <c r="Q4" s="834"/>
      <c r="R4" s="834"/>
      <c r="S4" s="834"/>
      <c r="T4" s="834"/>
      <c r="U4" s="834"/>
      <c r="V4" s="834"/>
      <c r="W4" s="834"/>
      <c r="X4" s="834"/>
      <c r="Y4" s="834"/>
      <c r="Z4" s="834"/>
      <c r="AA4" s="834"/>
      <c r="AB4" s="834"/>
      <c r="AC4" s="834"/>
      <c r="AD4" s="834"/>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42"/>
      <c r="BK4" s="842"/>
      <c r="BL4" s="842"/>
      <c r="BM4" s="842"/>
      <c r="BN4" s="842"/>
      <c r="BO4" s="842"/>
      <c r="BP4" s="842"/>
      <c r="BQ4" s="842"/>
      <c r="BR4" s="842"/>
      <c r="BS4" s="842"/>
      <c r="BT4" s="842"/>
      <c r="BU4" s="842"/>
      <c r="BV4" s="842"/>
      <c r="BW4" s="842"/>
      <c r="BX4" s="842"/>
      <c r="BY4" s="842"/>
      <c r="BZ4" s="842"/>
      <c r="CA4" s="842"/>
      <c r="CB4" s="842"/>
      <c r="CC4" s="842"/>
      <c r="CD4" s="842"/>
      <c r="CE4" s="842"/>
      <c r="CF4" s="842"/>
      <c r="CG4" s="842"/>
      <c r="CH4" s="842"/>
      <c r="CI4" s="842"/>
      <c r="CJ4" s="842"/>
      <c r="CK4" s="842"/>
      <c r="CL4" s="842"/>
      <c r="CM4" s="842"/>
      <c r="CN4" s="842"/>
      <c r="CO4" s="842"/>
      <c r="CP4" s="842"/>
      <c r="CQ4" s="842"/>
      <c r="CR4" s="842"/>
      <c r="CS4" s="842"/>
      <c r="CT4" s="842"/>
      <c r="CU4" s="842"/>
      <c r="CV4" s="842"/>
      <c r="CW4" s="842"/>
      <c r="CX4" s="842"/>
    </row>
    <row r="5" spans="1:102" hidden="1">
      <c r="A5" s="834" t="s">
        <v>505</v>
      </c>
      <c r="B5" s="834"/>
      <c r="C5" s="834"/>
      <c r="D5" s="834"/>
      <c r="E5" s="834"/>
      <c r="F5" s="834"/>
      <c r="G5" s="834"/>
      <c r="H5" s="834"/>
      <c r="I5" s="834"/>
      <c r="J5" s="834"/>
      <c r="K5" s="834"/>
      <c r="L5" s="834"/>
      <c r="M5" s="834"/>
      <c r="N5" s="875"/>
      <c r="O5" s="834"/>
      <c r="P5" s="834"/>
      <c r="Q5" s="834"/>
      <c r="R5" s="834"/>
      <c r="S5" s="834"/>
      <c r="T5" s="834"/>
      <c r="U5" s="834"/>
      <c r="V5" s="834"/>
      <c r="W5" s="834"/>
      <c r="X5" s="834"/>
      <c r="Y5" s="834"/>
      <c r="Z5" s="834"/>
      <c r="AA5" s="834"/>
      <c r="AB5" s="834"/>
      <c r="AC5" s="834"/>
      <c r="AD5" s="834"/>
      <c r="AE5" s="842"/>
      <c r="AF5" s="842"/>
      <c r="AG5" s="842"/>
      <c r="AH5" s="842"/>
      <c r="AI5" s="842"/>
      <c r="AJ5" s="842"/>
      <c r="AK5" s="842"/>
      <c r="AL5" s="842"/>
      <c r="AM5" s="842"/>
      <c r="AN5" s="842"/>
      <c r="AO5" s="842"/>
      <c r="AP5" s="842"/>
      <c r="AQ5" s="842"/>
      <c r="AR5" s="842"/>
      <c r="AS5" s="842"/>
      <c r="AT5" s="842"/>
      <c r="AU5" s="842"/>
      <c r="AV5" s="842"/>
      <c r="AW5" s="842"/>
      <c r="AX5" s="842"/>
      <c r="AY5" s="842"/>
      <c r="AZ5" s="842"/>
      <c r="BA5" s="842"/>
      <c r="BB5" s="842"/>
      <c r="BC5" s="842"/>
      <c r="BD5" s="842"/>
      <c r="BE5" s="842"/>
      <c r="BF5" s="842"/>
      <c r="BG5" s="842"/>
      <c r="BH5" s="842"/>
      <c r="BI5" s="842"/>
      <c r="BJ5" s="842"/>
      <c r="BK5" s="842"/>
      <c r="BL5" s="842"/>
      <c r="BM5" s="842"/>
      <c r="BN5" s="842"/>
      <c r="BO5" s="842"/>
      <c r="BP5" s="842"/>
      <c r="BQ5" s="842"/>
      <c r="BR5" s="842"/>
      <c r="BS5" s="842"/>
      <c r="BT5" s="842"/>
      <c r="BU5" s="842"/>
      <c r="BV5" s="842"/>
      <c r="BW5" s="842"/>
      <c r="BX5" s="842"/>
      <c r="BY5" s="842"/>
      <c r="BZ5" s="842"/>
      <c r="CA5" s="842"/>
      <c r="CB5" s="842"/>
      <c r="CC5" s="842"/>
      <c r="CD5" s="842"/>
      <c r="CE5" s="842"/>
      <c r="CF5" s="842"/>
      <c r="CG5" s="842"/>
      <c r="CH5" s="842"/>
      <c r="CI5" s="842"/>
      <c r="CJ5" s="842"/>
      <c r="CK5" s="842"/>
      <c r="CL5" s="842"/>
      <c r="CM5" s="842"/>
      <c r="CN5" s="842"/>
      <c r="CO5" s="842"/>
      <c r="CP5" s="842"/>
      <c r="CQ5" s="842"/>
      <c r="CR5" s="842"/>
      <c r="CS5" s="842"/>
      <c r="CT5" s="842"/>
      <c r="CU5" s="842"/>
      <c r="CV5" s="842"/>
      <c r="CW5" s="842"/>
      <c r="CX5" s="842"/>
    </row>
    <row r="6" spans="1:102" hidden="1">
      <c r="A6" s="834" t="s">
        <v>506</v>
      </c>
      <c r="B6" s="834"/>
      <c r="C6" s="834"/>
      <c r="D6" s="834"/>
      <c r="E6" s="834"/>
      <c r="F6" s="834"/>
      <c r="G6" s="834"/>
      <c r="H6" s="834"/>
      <c r="I6" s="834"/>
      <c r="J6" s="834"/>
      <c r="K6" s="834"/>
      <c r="L6" s="834"/>
      <c r="M6" s="834"/>
      <c r="N6" s="875"/>
      <c r="O6" s="834"/>
      <c r="P6" s="834"/>
      <c r="Q6" s="834"/>
      <c r="R6" s="834"/>
      <c r="S6" s="834"/>
      <c r="T6" s="834"/>
      <c r="U6" s="834"/>
      <c r="V6" s="834"/>
      <c r="W6" s="834"/>
      <c r="X6" s="834"/>
      <c r="Y6" s="834"/>
      <c r="Z6" s="834"/>
      <c r="AA6" s="834"/>
      <c r="AB6" s="834"/>
      <c r="AC6" s="834"/>
      <c r="AD6" s="834"/>
      <c r="AE6" s="842"/>
      <c r="AF6" s="842"/>
      <c r="AG6" s="842"/>
      <c r="AH6" s="842"/>
      <c r="AI6" s="842"/>
      <c r="AJ6" s="842"/>
      <c r="AK6" s="842"/>
      <c r="AL6" s="842"/>
      <c r="AM6" s="842"/>
      <c r="AN6" s="842"/>
      <c r="AO6" s="842"/>
      <c r="AP6" s="842"/>
      <c r="AQ6" s="842"/>
      <c r="AR6" s="842"/>
      <c r="AS6" s="842"/>
      <c r="AT6" s="842"/>
      <c r="AU6" s="842"/>
      <c r="AV6" s="842"/>
      <c r="AW6" s="842"/>
      <c r="AX6" s="842"/>
      <c r="AY6" s="842"/>
      <c r="AZ6" s="842"/>
      <c r="BA6" s="842"/>
      <c r="BB6" s="842"/>
      <c r="BC6" s="842"/>
      <c r="BD6" s="842"/>
      <c r="BE6" s="842"/>
      <c r="BF6" s="842"/>
      <c r="BG6" s="842"/>
      <c r="BH6" s="842"/>
      <c r="BI6" s="842"/>
      <c r="BJ6" s="842"/>
      <c r="BK6" s="842"/>
      <c r="BL6" s="842"/>
      <c r="BM6" s="842"/>
      <c r="BN6" s="842"/>
      <c r="BO6" s="842"/>
      <c r="BP6" s="842"/>
      <c r="BQ6" s="842"/>
      <c r="BR6" s="842"/>
      <c r="BS6" s="842"/>
      <c r="BT6" s="842"/>
      <c r="BU6" s="842"/>
      <c r="BV6" s="842"/>
      <c r="BW6" s="842"/>
      <c r="BX6" s="842"/>
      <c r="BY6" s="842"/>
      <c r="BZ6" s="842"/>
      <c r="CA6" s="842"/>
      <c r="CB6" s="842"/>
      <c r="CC6" s="842"/>
      <c r="CD6" s="842"/>
      <c r="CE6" s="842"/>
      <c r="CF6" s="842"/>
      <c r="CG6" s="842"/>
      <c r="CH6" s="842"/>
      <c r="CI6" s="842"/>
      <c r="CJ6" s="842"/>
      <c r="CK6" s="842"/>
      <c r="CL6" s="842"/>
      <c r="CM6" s="842"/>
      <c r="CN6" s="842"/>
      <c r="CO6" s="842"/>
      <c r="CP6" s="842"/>
      <c r="CQ6" s="842"/>
      <c r="CR6" s="842"/>
      <c r="CS6" s="842"/>
      <c r="CT6" s="842"/>
      <c r="CU6" s="842"/>
      <c r="CV6" s="842"/>
      <c r="CW6" s="842"/>
      <c r="CX6" s="842"/>
    </row>
    <row r="7" spans="1:102" ht="18" customHeight="1">
      <c r="A7" s="217" t="s">
        <v>507</v>
      </c>
      <c r="B7" s="630" t="s">
        <v>18</v>
      </c>
      <c r="C7" s="226"/>
      <c r="D7" s="834"/>
      <c r="E7" s="834"/>
      <c r="F7" s="834"/>
      <c r="G7" s="834"/>
      <c r="H7" s="834"/>
      <c r="I7" s="834"/>
      <c r="J7" s="834"/>
      <c r="K7" s="834"/>
      <c r="L7" s="834"/>
      <c r="M7" s="834"/>
      <c r="N7" s="875"/>
      <c r="O7" s="834"/>
      <c r="P7" s="834"/>
      <c r="Q7" s="834"/>
      <c r="R7" s="834"/>
      <c r="S7" s="834"/>
      <c r="T7" s="834"/>
      <c r="U7" s="834"/>
      <c r="V7" s="834"/>
      <c r="W7" s="834"/>
      <c r="X7" s="834"/>
      <c r="Y7" s="834"/>
      <c r="Z7" s="834"/>
      <c r="AA7" s="834"/>
      <c r="AB7" s="834"/>
      <c r="AC7" s="834"/>
      <c r="AD7" s="834"/>
      <c r="AE7" s="842"/>
      <c r="AF7" s="842"/>
      <c r="AG7" s="842"/>
      <c r="AH7" s="842"/>
      <c r="AI7" s="842"/>
      <c r="AJ7" s="842"/>
      <c r="AK7" s="842"/>
      <c r="AL7" s="842"/>
      <c r="AM7" s="842"/>
      <c r="AN7" s="842"/>
      <c r="AO7" s="842"/>
      <c r="AP7" s="842"/>
      <c r="AQ7" s="842"/>
      <c r="AR7" s="842"/>
      <c r="AS7" s="842"/>
      <c r="AT7" s="842"/>
      <c r="AU7" s="842"/>
      <c r="AV7" s="842"/>
      <c r="AW7" s="842"/>
      <c r="AX7" s="842"/>
      <c r="AY7" s="842"/>
      <c r="AZ7" s="842"/>
      <c r="BA7" s="842"/>
      <c r="BB7" s="842"/>
      <c r="BC7" s="842"/>
      <c r="BD7" s="842"/>
      <c r="BE7" s="842"/>
      <c r="BF7" s="842"/>
      <c r="BG7" s="842"/>
      <c r="BH7" s="842"/>
      <c r="BI7" s="842"/>
      <c r="BJ7" s="842"/>
      <c r="BK7" s="842"/>
      <c r="BL7" s="842"/>
      <c r="BM7" s="842"/>
      <c r="BN7" s="842"/>
      <c r="BO7" s="842"/>
      <c r="BP7" s="842"/>
      <c r="BQ7" s="842"/>
      <c r="BR7" s="842"/>
      <c r="BS7" s="842"/>
      <c r="BT7" s="842"/>
      <c r="BU7" s="842"/>
      <c r="BV7" s="842"/>
      <c r="BW7" s="842"/>
      <c r="BX7" s="842"/>
      <c r="BY7" s="842"/>
      <c r="BZ7" s="842"/>
      <c r="CA7" s="842"/>
      <c r="CB7" s="842"/>
      <c r="CC7" s="842"/>
      <c r="CD7" s="842"/>
      <c r="CE7" s="842"/>
      <c r="CF7" s="842"/>
      <c r="CG7" s="842"/>
      <c r="CH7" s="842"/>
      <c r="CI7" s="842"/>
      <c r="CJ7" s="842"/>
      <c r="CK7" s="842"/>
      <c r="CL7" s="842"/>
      <c r="CM7" s="842"/>
      <c r="CN7" s="842"/>
      <c r="CO7" s="842"/>
      <c r="CP7" s="842"/>
      <c r="CQ7" s="842"/>
      <c r="CR7" s="842"/>
      <c r="CS7" s="842"/>
      <c r="CT7" s="842"/>
      <c r="CU7" s="842"/>
      <c r="CV7" s="842"/>
      <c r="CW7" s="842"/>
      <c r="CX7" s="842"/>
    </row>
    <row r="8" spans="1:102">
      <c r="A8" s="834"/>
      <c r="B8" s="834"/>
      <c r="C8" s="834"/>
      <c r="D8" s="834"/>
      <c r="E8" s="834"/>
      <c r="F8" s="834"/>
      <c r="G8" s="834"/>
      <c r="H8" s="834"/>
      <c r="I8" s="834"/>
      <c r="J8" s="834"/>
      <c r="K8" s="875"/>
      <c r="L8" s="875"/>
      <c r="M8" s="834"/>
      <c r="N8" s="875"/>
      <c r="O8" s="834"/>
      <c r="P8" s="834"/>
      <c r="Q8" s="834"/>
      <c r="R8" s="834"/>
      <c r="S8" s="834"/>
      <c r="T8" s="834"/>
      <c r="U8" s="834"/>
      <c r="V8" s="834"/>
      <c r="W8" s="834"/>
      <c r="X8" s="834"/>
      <c r="Y8" s="834"/>
      <c r="Z8" s="834"/>
      <c r="AA8" s="834"/>
      <c r="AB8" s="834"/>
      <c r="AC8" s="834"/>
      <c r="AD8" s="834"/>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2"/>
      <c r="CJ8" s="842"/>
      <c r="CK8" s="842"/>
      <c r="CL8" s="842"/>
      <c r="CM8" s="842"/>
      <c r="CN8" s="842"/>
      <c r="CO8" s="842"/>
      <c r="CP8" s="842"/>
      <c r="CQ8" s="842"/>
      <c r="CR8" s="842"/>
      <c r="CS8" s="842"/>
      <c r="CT8" s="842"/>
      <c r="CU8" s="842"/>
      <c r="CV8" s="842"/>
      <c r="CW8" s="842"/>
      <c r="CX8" s="842"/>
    </row>
    <row r="9" spans="1:102" ht="18.75" customHeight="1">
      <c r="A9" s="989" t="s">
        <v>508</v>
      </c>
      <c r="B9" s="990"/>
      <c r="C9" s="990"/>
      <c r="D9" s="990"/>
      <c r="E9" s="990"/>
      <c r="F9" s="990"/>
      <c r="G9" s="990"/>
      <c r="H9" s="990"/>
      <c r="I9" s="990"/>
      <c r="J9" s="990"/>
      <c r="K9" s="990"/>
      <c r="L9" s="990"/>
      <c r="M9" s="991"/>
      <c r="N9" s="599"/>
      <c r="O9" s="423"/>
      <c r="P9" s="423"/>
      <c r="Q9" s="423"/>
      <c r="R9" s="423"/>
      <c r="S9" s="423"/>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4"/>
      <c r="AY9" s="834"/>
      <c r="AZ9" s="834"/>
      <c r="BA9" s="834"/>
      <c r="BB9" s="834"/>
      <c r="BC9" s="834"/>
      <c r="BD9" s="834"/>
      <c r="BE9" s="834"/>
      <c r="BF9" s="834"/>
      <c r="BG9" s="834"/>
      <c r="BH9" s="834"/>
      <c r="BI9" s="834"/>
      <c r="BJ9" s="834"/>
      <c r="BK9" s="842"/>
      <c r="BL9" s="842"/>
      <c r="BM9" s="842"/>
      <c r="BN9" s="842"/>
      <c r="BO9" s="842"/>
      <c r="BP9" s="842"/>
      <c r="BQ9" s="842"/>
      <c r="BR9" s="842"/>
      <c r="BS9" s="842"/>
      <c r="BT9" s="842"/>
      <c r="BU9" s="842"/>
      <c r="BV9" s="842"/>
      <c r="BW9" s="842"/>
      <c r="BX9" s="842"/>
      <c r="BY9" s="842"/>
      <c r="BZ9" s="842"/>
      <c r="CA9" s="842"/>
      <c r="CB9" s="842"/>
      <c r="CC9" s="842"/>
      <c r="CD9" s="842"/>
      <c r="CE9" s="842"/>
      <c r="CF9" s="842"/>
      <c r="CG9" s="842"/>
      <c r="CH9" s="842"/>
      <c r="CI9" s="842"/>
      <c r="CJ9" s="842"/>
      <c r="CK9" s="842"/>
      <c r="CL9" s="842"/>
      <c r="CM9" s="842"/>
      <c r="CN9" s="842"/>
      <c r="CO9" s="842"/>
      <c r="CP9" s="842"/>
      <c r="CQ9" s="842"/>
      <c r="CR9" s="842"/>
      <c r="CS9" s="842"/>
      <c r="CT9" s="842"/>
      <c r="CU9" s="842"/>
      <c r="CV9" s="842"/>
      <c r="CW9" s="842"/>
      <c r="CX9" s="842"/>
    </row>
    <row r="10" spans="1:102" ht="18.75" customHeight="1">
      <c r="A10" s="217" t="s">
        <v>507</v>
      </c>
      <c r="B10" s="632" t="s">
        <v>18</v>
      </c>
      <c r="C10" s="424"/>
      <c r="D10" s="424"/>
      <c r="E10" s="424"/>
      <c r="F10" s="424"/>
      <c r="G10" s="424"/>
      <c r="H10" s="424"/>
      <c r="I10" s="424"/>
      <c r="J10" s="424"/>
      <c r="K10" s="424"/>
      <c r="L10" s="424"/>
      <c r="M10" s="424"/>
      <c r="N10" s="440"/>
      <c r="O10" s="603"/>
      <c r="P10" s="603"/>
      <c r="Q10" s="603"/>
      <c r="R10" s="603"/>
      <c r="S10" s="603"/>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2"/>
      <c r="BR10" s="842"/>
      <c r="BS10" s="842"/>
      <c r="BT10" s="842"/>
      <c r="BU10" s="842"/>
      <c r="BV10" s="842"/>
      <c r="BW10" s="842"/>
      <c r="BX10" s="842"/>
      <c r="BY10" s="842"/>
      <c r="BZ10" s="842"/>
      <c r="CA10" s="842"/>
      <c r="CB10" s="842"/>
      <c r="CC10" s="842"/>
      <c r="CD10" s="842"/>
      <c r="CE10" s="842"/>
      <c r="CF10" s="842"/>
      <c r="CG10" s="842"/>
      <c r="CH10" s="842"/>
      <c r="CI10" s="842"/>
      <c r="CJ10" s="842"/>
      <c r="CK10" s="842"/>
      <c r="CL10" s="842"/>
      <c r="CM10" s="842"/>
      <c r="CN10" s="842"/>
      <c r="CO10" s="842"/>
      <c r="CP10" s="842"/>
      <c r="CQ10" s="842"/>
      <c r="CR10" s="842"/>
      <c r="CS10" s="842"/>
      <c r="CT10" s="842"/>
      <c r="CU10" s="842"/>
      <c r="CV10" s="842"/>
      <c r="CW10" s="842"/>
      <c r="CX10" s="842"/>
    </row>
    <row r="11" spans="1:102" ht="18.75" customHeight="1">
      <c r="A11" s="145"/>
      <c r="B11" s="632"/>
      <c r="C11" s="424"/>
      <c r="D11" s="424"/>
      <c r="E11" s="424"/>
      <c r="F11" s="424"/>
      <c r="G11" s="424"/>
      <c r="H11" s="424"/>
      <c r="I11" s="424"/>
      <c r="J11" s="424"/>
      <c r="K11" s="424"/>
      <c r="L11" s="424"/>
      <c r="M11" s="424"/>
      <c r="N11" s="440"/>
      <c r="O11" s="603"/>
      <c r="P11" s="603"/>
      <c r="Q11" s="603"/>
      <c r="R11" s="603"/>
      <c r="S11" s="603"/>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842"/>
      <c r="AS11" s="842"/>
      <c r="AT11" s="842"/>
      <c r="AU11" s="842"/>
      <c r="AV11" s="842"/>
      <c r="AW11" s="842"/>
      <c r="AX11" s="842"/>
      <c r="AY11" s="842"/>
      <c r="AZ11" s="842"/>
      <c r="BA11" s="842"/>
      <c r="BB11" s="842"/>
      <c r="BC11" s="842"/>
      <c r="BD11" s="842"/>
      <c r="BE11" s="842"/>
      <c r="BF11" s="842"/>
      <c r="BG11" s="842"/>
      <c r="BH11" s="842"/>
      <c r="BI11" s="842"/>
      <c r="BJ11" s="842"/>
      <c r="BK11" s="842"/>
      <c r="BL11" s="842"/>
      <c r="BM11" s="842"/>
      <c r="BN11" s="842"/>
      <c r="BO11" s="842"/>
      <c r="BP11" s="842"/>
      <c r="BQ11" s="842"/>
      <c r="BR11" s="842"/>
      <c r="BS11" s="842"/>
      <c r="BT11" s="842"/>
      <c r="BU11" s="842"/>
      <c r="BV11" s="842"/>
      <c r="BW11" s="842"/>
      <c r="BX11" s="842"/>
      <c r="BY11" s="842"/>
      <c r="BZ11" s="842"/>
      <c r="CA11" s="842"/>
      <c r="CB11" s="842"/>
      <c r="CC11" s="842"/>
      <c r="CD11" s="842"/>
      <c r="CE11" s="842"/>
      <c r="CF11" s="842"/>
      <c r="CG11" s="842"/>
      <c r="CH11" s="842"/>
      <c r="CI11" s="842"/>
      <c r="CJ11" s="842"/>
      <c r="CK11" s="842"/>
      <c r="CL11" s="842"/>
      <c r="CM11" s="842"/>
      <c r="CN11" s="842"/>
      <c r="CO11" s="842"/>
      <c r="CP11" s="842"/>
      <c r="CQ11" s="842"/>
      <c r="CR11" s="842"/>
      <c r="CS11" s="842"/>
      <c r="CT11" s="842"/>
      <c r="CU11" s="842"/>
      <c r="CV11" s="842"/>
      <c r="CW11" s="842"/>
      <c r="CX11" s="842"/>
    </row>
    <row r="12" spans="1:102" ht="24" customHeight="1">
      <c r="A12" s="217" t="s">
        <v>508</v>
      </c>
      <c r="B12" s="811"/>
      <c r="C12" s="810"/>
      <c r="D12" s="810"/>
      <c r="E12" s="810"/>
      <c r="F12" s="810"/>
      <c r="G12" s="810"/>
      <c r="H12" s="810"/>
      <c r="I12" s="810"/>
      <c r="J12" s="810"/>
      <c r="K12" s="810"/>
      <c r="L12" s="810"/>
      <c r="M12" s="810"/>
      <c r="N12" s="440"/>
      <c r="O12" s="603"/>
      <c r="P12" s="603"/>
      <c r="Q12" s="603"/>
      <c r="R12" s="603"/>
      <c r="S12" s="603"/>
      <c r="T12" s="842"/>
      <c r="U12" s="842"/>
      <c r="V12" s="842"/>
      <c r="W12" s="842"/>
      <c r="X12" s="842"/>
      <c r="Y12" s="842"/>
      <c r="Z12" s="842"/>
      <c r="AA12" s="842"/>
      <c r="AB12" s="842"/>
      <c r="AC12" s="842"/>
      <c r="AD12" s="842"/>
      <c r="AE12" s="842"/>
      <c r="AF12" s="842"/>
      <c r="AG12" s="842"/>
      <c r="AH12" s="842"/>
      <c r="AI12" s="842"/>
      <c r="AJ12" s="842"/>
      <c r="AK12" s="842"/>
      <c r="AL12" s="842"/>
      <c r="AM12" s="842"/>
      <c r="AN12" s="842"/>
      <c r="AO12" s="842"/>
      <c r="AP12" s="842"/>
      <c r="AQ12" s="842"/>
      <c r="AR12" s="842"/>
      <c r="AS12" s="842"/>
      <c r="AT12" s="842"/>
      <c r="AU12" s="842"/>
      <c r="AV12" s="842"/>
      <c r="AW12" s="842"/>
      <c r="AX12" s="842"/>
      <c r="AY12" s="842"/>
      <c r="AZ12" s="842"/>
      <c r="BA12" s="842"/>
      <c r="BB12" s="842"/>
      <c r="BC12" s="842"/>
      <c r="BD12" s="842"/>
      <c r="BE12" s="842"/>
      <c r="BF12" s="842"/>
      <c r="BG12" s="842"/>
      <c r="BH12" s="842"/>
      <c r="BI12" s="842"/>
      <c r="BJ12" s="842"/>
      <c r="BK12" s="842"/>
      <c r="BL12" s="842"/>
      <c r="BM12" s="842"/>
      <c r="BN12" s="842"/>
      <c r="BO12" s="842"/>
      <c r="BP12" s="842"/>
      <c r="BQ12" s="842"/>
      <c r="BR12" s="842"/>
      <c r="BS12" s="842"/>
      <c r="BT12" s="842"/>
      <c r="BU12" s="842"/>
      <c r="BV12" s="842"/>
      <c r="BW12" s="842"/>
      <c r="BX12" s="842"/>
      <c r="BY12" s="842"/>
      <c r="BZ12" s="842"/>
      <c r="CA12" s="842"/>
      <c r="CB12" s="842"/>
      <c r="CC12" s="842"/>
      <c r="CD12" s="842"/>
      <c r="CE12" s="842"/>
      <c r="CF12" s="842"/>
      <c r="CG12" s="842"/>
      <c r="CH12" s="842"/>
      <c r="CI12" s="842"/>
      <c r="CJ12" s="842"/>
      <c r="CK12" s="842"/>
      <c r="CL12" s="842"/>
      <c r="CM12" s="842"/>
      <c r="CN12" s="842"/>
      <c r="CO12" s="842"/>
      <c r="CP12" s="842"/>
      <c r="CQ12" s="842"/>
      <c r="CR12" s="842"/>
      <c r="CS12" s="842"/>
      <c r="CT12" s="842"/>
      <c r="CU12" s="842"/>
      <c r="CV12" s="842"/>
      <c r="CW12" s="842"/>
      <c r="CX12" s="842"/>
    </row>
    <row r="13" spans="1:102" ht="21.75" customHeight="1">
      <c r="A13" s="425" t="s">
        <v>113</v>
      </c>
      <c r="B13" s="424"/>
      <c r="C13" s="15"/>
      <c r="D13" s="424"/>
      <c r="E13" s="424"/>
      <c r="F13" s="424"/>
      <c r="G13" s="424"/>
      <c r="H13" s="424"/>
      <c r="I13" s="424"/>
      <c r="J13" s="424"/>
      <c r="K13" s="424"/>
      <c r="L13" s="424"/>
      <c r="M13" s="424"/>
      <c r="N13" s="599"/>
      <c r="O13" s="423"/>
      <c r="P13" s="423"/>
      <c r="Q13" s="423"/>
      <c r="R13" s="423"/>
      <c r="S13" s="423"/>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c r="BI13" s="834"/>
      <c r="BJ13" s="834"/>
      <c r="BK13" s="842"/>
      <c r="BL13" s="842"/>
      <c r="BM13" s="842"/>
      <c r="BN13" s="842"/>
      <c r="BO13" s="842"/>
      <c r="BP13" s="842"/>
      <c r="BQ13" s="842"/>
      <c r="BR13" s="842"/>
      <c r="BS13" s="842"/>
      <c r="BT13" s="842"/>
      <c r="BU13" s="842"/>
      <c r="BV13" s="842"/>
      <c r="BW13" s="842"/>
      <c r="BX13" s="842"/>
      <c r="BY13" s="842"/>
      <c r="BZ13" s="842"/>
      <c r="CA13" s="842"/>
      <c r="CB13" s="842"/>
      <c r="CC13" s="842"/>
      <c r="CD13" s="842"/>
      <c r="CE13" s="842"/>
      <c r="CF13" s="842"/>
      <c r="CG13" s="842"/>
      <c r="CH13" s="842"/>
      <c r="CI13" s="842"/>
      <c r="CJ13" s="842"/>
      <c r="CK13" s="842"/>
      <c r="CL13" s="842"/>
      <c r="CM13" s="842"/>
      <c r="CN13" s="842"/>
      <c r="CO13" s="842"/>
      <c r="CP13" s="842"/>
      <c r="CQ13" s="842"/>
      <c r="CR13" s="842"/>
      <c r="CS13" s="842"/>
      <c r="CT13" s="842"/>
      <c r="CU13" s="842"/>
      <c r="CV13" s="842"/>
      <c r="CW13" s="842"/>
      <c r="CX13" s="842"/>
    </row>
    <row r="14" spans="1:102">
      <c r="A14" s="425"/>
      <c r="B14" s="992" t="s">
        <v>509</v>
      </c>
      <c r="C14" s="992"/>
      <c r="D14" s="992"/>
      <c r="E14" s="992"/>
      <c r="F14" s="992"/>
      <c r="G14" s="992" t="s">
        <v>510</v>
      </c>
      <c r="H14" s="992"/>
      <c r="I14" s="992"/>
      <c r="J14" s="992"/>
      <c r="K14" s="992"/>
      <c r="L14" s="992"/>
      <c r="M14" s="423"/>
      <c r="N14" s="599"/>
      <c r="O14" s="423"/>
      <c r="P14" s="423"/>
      <c r="Q14" s="423"/>
      <c r="R14" s="423"/>
      <c r="S14" s="423"/>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c r="BH14" s="834"/>
      <c r="BI14" s="834"/>
      <c r="BJ14" s="834"/>
      <c r="BK14" s="842"/>
      <c r="BL14" s="842"/>
      <c r="BM14" s="842"/>
      <c r="BN14" s="842"/>
      <c r="BO14" s="842"/>
      <c r="BP14" s="842"/>
      <c r="BQ14" s="842"/>
      <c r="BR14" s="842"/>
      <c r="BS14" s="842"/>
      <c r="BT14" s="842"/>
      <c r="BU14" s="842"/>
      <c r="BV14" s="842"/>
      <c r="BW14" s="842"/>
      <c r="BX14" s="842"/>
      <c r="BY14" s="842"/>
      <c r="BZ14" s="842"/>
      <c r="CA14" s="842"/>
      <c r="CB14" s="842"/>
      <c r="CC14" s="842"/>
      <c r="CD14" s="842"/>
      <c r="CE14" s="842"/>
      <c r="CF14" s="842"/>
      <c r="CG14" s="842"/>
      <c r="CH14" s="842"/>
      <c r="CI14" s="842"/>
      <c r="CJ14" s="842"/>
      <c r="CK14" s="842"/>
      <c r="CL14" s="842"/>
      <c r="CM14" s="842"/>
      <c r="CN14" s="842"/>
      <c r="CO14" s="842"/>
      <c r="CP14" s="842"/>
      <c r="CQ14" s="842"/>
      <c r="CR14" s="842"/>
      <c r="CS14" s="842"/>
      <c r="CT14" s="842"/>
      <c r="CU14" s="842"/>
      <c r="CV14" s="842"/>
      <c r="CW14" s="842"/>
      <c r="CX14" s="842"/>
    </row>
    <row r="15" spans="1:102" s="427" customFormat="1" ht="48" customHeight="1">
      <c r="A15" s="876"/>
      <c r="B15" s="877" t="s">
        <v>511</v>
      </c>
      <c r="C15" s="877" t="s">
        <v>512</v>
      </c>
      <c r="D15" s="877" t="s">
        <v>513</v>
      </c>
      <c r="E15" s="878" t="s">
        <v>514</v>
      </c>
      <c r="F15" s="877" t="s">
        <v>515</v>
      </c>
      <c r="G15" s="877" t="s">
        <v>516</v>
      </c>
      <c r="H15" s="877" t="s">
        <v>517</v>
      </c>
      <c r="I15" s="877" t="s">
        <v>518</v>
      </c>
      <c r="J15" s="878" t="s">
        <v>519</v>
      </c>
      <c r="K15" s="877" t="s">
        <v>520</v>
      </c>
      <c r="L15" s="877" t="s">
        <v>521</v>
      </c>
      <c r="M15" s="877" t="s">
        <v>521</v>
      </c>
      <c r="N15" s="600"/>
      <c r="O15" s="745"/>
      <c r="P15" s="426"/>
      <c r="Q15" s="426"/>
      <c r="R15" s="426"/>
      <c r="S15" s="426"/>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7"/>
      <c r="BV15" s="837"/>
      <c r="BW15" s="837"/>
      <c r="BX15" s="837"/>
      <c r="BY15" s="837"/>
      <c r="BZ15" s="837"/>
      <c r="CA15" s="837"/>
      <c r="CB15" s="837"/>
      <c r="CC15" s="837"/>
      <c r="CD15" s="837"/>
      <c r="CE15" s="837"/>
      <c r="CF15" s="837"/>
      <c r="CG15" s="837"/>
      <c r="CH15" s="837"/>
      <c r="CI15" s="837"/>
      <c r="CJ15" s="837"/>
      <c r="CK15" s="837"/>
      <c r="CL15" s="837"/>
      <c r="CM15" s="837"/>
      <c r="CN15" s="837"/>
      <c r="CO15" s="837"/>
      <c r="CP15" s="837"/>
      <c r="CQ15" s="837"/>
      <c r="CR15" s="837"/>
      <c r="CS15" s="837"/>
      <c r="CT15" s="837"/>
      <c r="CU15" s="837"/>
      <c r="CV15" s="837"/>
      <c r="CW15" s="837"/>
      <c r="CX15" s="837"/>
    </row>
    <row r="16" spans="1:102" s="427" customFormat="1" ht="15" customHeight="1">
      <c r="A16" s="564"/>
      <c r="B16" s="565"/>
      <c r="C16" s="565"/>
      <c r="D16" s="565"/>
      <c r="E16" s="566"/>
      <c r="F16" s="565"/>
      <c r="G16" s="565"/>
      <c r="H16" s="565"/>
      <c r="I16" s="565"/>
      <c r="J16" s="566"/>
      <c r="K16" s="565"/>
      <c r="L16" s="567">
        <v>44834</v>
      </c>
      <c r="M16" s="567">
        <v>44561</v>
      </c>
      <c r="N16" s="600"/>
      <c r="O16" s="426"/>
      <c r="P16" s="426"/>
      <c r="Q16" s="426"/>
      <c r="R16" s="426"/>
      <c r="S16" s="426"/>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7"/>
      <c r="BF16" s="837"/>
      <c r="BG16" s="837"/>
      <c r="BH16" s="837"/>
      <c r="BI16" s="837"/>
      <c r="BJ16" s="837"/>
      <c r="BK16" s="837"/>
      <c r="BL16" s="837"/>
      <c r="BM16" s="837"/>
      <c r="BN16" s="837"/>
      <c r="BO16" s="837"/>
      <c r="BP16" s="837"/>
      <c r="BQ16" s="837"/>
      <c r="BR16" s="837"/>
      <c r="BS16" s="837"/>
      <c r="BT16" s="837"/>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row>
    <row r="17" spans="1:102" s="427" customFormat="1" ht="15" customHeight="1">
      <c r="A17" s="430" t="s">
        <v>522</v>
      </c>
      <c r="B17" s="428"/>
      <c r="C17" s="428"/>
      <c r="D17" s="428"/>
      <c r="E17" s="429"/>
      <c r="F17" s="428"/>
      <c r="G17" s="428"/>
      <c r="H17" s="428"/>
      <c r="I17" s="428"/>
      <c r="J17" s="429"/>
      <c r="K17" s="428"/>
      <c r="L17" s="431"/>
      <c r="M17" s="431"/>
      <c r="N17" s="600"/>
      <c r="O17" s="426"/>
      <c r="P17" s="426"/>
      <c r="Q17" s="426"/>
      <c r="R17" s="426"/>
      <c r="S17" s="426"/>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7"/>
      <c r="CR17" s="837"/>
      <c r="CS17" s="837"/>
      <c r="CT17" s="837"/>
      <c r="CU17" s="837"/>
      <c r="CV17" s="837"/>
      <c r="CW17" s="837"/>
      <c r="CX17" s="837"/>
    </row>
    <row r="18" spans="1:102">
      <c r="A18" s="25" t="s">
        <v>523</v>
      </c>
      <c r="B18" s="507">
        <v>16256350220</v>
      </c>
      <c r="C18" s="508">
        <f>6000000+1500000+1500000+7055833+2502305+1081726+5522727+24973051+537080+1435470+13524252+3646314+3882860+1159742+1790839+3865865+1829038+590000753+3500000+1000000+71368560+348637736+1500000+2033275+569106+1045388+11484171+27065977+2642500+4203543+1215438+569106+1294287+1045388+2296834+5413195+2642500+4203543+2870940+1356046+1761547+1002008+386120+22894677+24939880+199041041+13656711+2340000+1356046+490000+490000+10090909+636364+636364+2545455+2272727+3181818+5280000+1818182+3388085+757652+746455+2713679+4752953+1492909+2890309+8831500+1284582+6551367+5971636+7129429+2649450+2376476+1122404+1826851+2376476+1107952+1043723+1398683+5033955+4478727+2986653+2890309+2239364+2376476+2649450+2376476+1185171+1398683+3564715+1886730+1492909+14467603+4670963+1991102+3863325+1000000+2145909+761200+1522400+2654789+2818308+2283600+24672291+2283600+42142857+44078318+8090909+11085346+4078211+1800000+954545+8820019+7717525+3646749+508930+42142857+3981632+3981632+9922513+16537475+22050013+5181818+9036671+1543496+1543496+3086993+1036364+1880115+4263636+1827273+2436364+1909091+18181818+6529915+6529915+18995455+15377273+11759091+1772727+2626663+2197512+470416+3163636+9818182+13090909+15709091+15927273+3927273+2400000+12654545+3927273+1527273+6109091+8400000+6000000+3000000+2945455+3381818+824100513+3160909+1686487+9663145+5986479+11103951+9205175+16305465+28492285+30849532+20435468+1052445+516449+6178446+1543935</f>
        <v>3056680652</v>
      </c>
      <c r="D18" s="66">
        <f>11568889+1118914+6529915+6529915</f>
        <v>25747633</v>
      </c>
      <c r="E18" s="509"/>
      <c r="F18" s="508">
        <f>+B18+C18-D18</f>
        <v>19287283239</v>
      </c>
      <c r="G18" s="508">
        <v>8858271793</v>
      </c>
      <c r="H18" s="508">
        <f>148012871+146205440+137023583+198024393+175702055+168890970+168335441+178784080+169236966</f>
        <v>1490215799</v>
      </c>
      <c r="I18" s="66">
        <f>7604191+423241</f>
        <v>8027432</v>
      </c>
      <c r="J18" s="509"/>
      <c r="K18" s="66">
        <f>+G18+H18-I18</f>
        <v>10340460160</v>
      </c>
      <c r="L18" s="508">
        <f>+F18-K18</f>
        <v>8946823079</v>
      </c>
      <c r="M18" s="508">
        <v>7398078427</v>
      </c>
      <c r="N18" s="599"/>
      <c r="O18" s="432"/>
      <c r="P18" s="423"/>
      <c r="Q18" s="423"/>
      <c r="R18" s="423"/>
      <c r="S18" s="423"/>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4"/>
      <c r="AZ18" s="834"/>
      <c r="BA18" s="834"/>
      <c r="BB18" s="834"/>
      <c r="BC18" s="834"/>
      <c r="BD18" s="834"/>
      <c r="BE18" s="834"/>
      <c r="BF18" s="834"/>
      <c r="BG18" s="834"/>
      <c r="BH18" s="834"/>
      <c r="BI18" s="834"/>
      <c r="BJ18" s="834"/>
      <c r="BK18" s="842"/>
      <c r="BL18" s="842"/>
      <c r="BM18" s="842"/>
      <c r="BN18" s="842"/>
      <c r="BO18" s="842"/>
      <c r="BP18" s="842"/>
      <c r="BQ18" s="842"/>
      <c r="BR18" s="842"/>
      <c r="BS18" s="842"/>
      <c r="BT18" s="842"/>
      <c r="BU18" s="842"/>
      <c r="BV18" s="842"/>
      <c r="BW18" s="842"/>
      <c r="BX18" s="842"/>
      <c r="BY18" s="842"/>
      <c r="BZ18" s="842"/>
      <c r="CA18" s="842"/>
      <c r="CB18" s="842"/>
      <c r="CC18" s="842"/>
      <c r="CD18" s="842"/>
      <c r="CE18" s="842"/>
      <c r="CF18" s="842"/>
      <c r="CG18" s="842"/>
      <c r="CH18" s="842"/>
      <c r="CI18" s="842"/>
      <c r="CJ18" s="842"/>
      <c r="CK18" s="842"/>
      <c r="CL18" s="842"/>
      <c r="CM18" s="842"/>
      <c r="CN18" s="842"/>
      <c r="CO18" s="842"/>
      <c r="CP18" s="842"/>
      <c r="CQ18" s="842"/>
      <c r="CR18" s="842"/>
      <c r="CS18" s="842"/>
      <c r="CT18" s="842"/>
      <c r="CU18" s="842"/>
      <c r="CV18" s="842"/>
      <c r="CW18" s="842"/>
      <c r="CX18" s="842"/>
    </row>
    <row r="19" spans="1:102">
      <c r="A19" s="25" t="s">
        <v>524</v>
      </c>
      <c r="B19" s="66">
        <v>6253578033</v>
      </c>
      <c r="C19" s="66">
        <f>16300000+11453400+962495+6168260+6117837+1654131+2685077+29535847+2685077+4119265+6204000+13420903+12433066+15748601+7915060+7915060+5980707+34335031+20130903+9909400+1307918+7468200+10847446+6394519+12599987+9463170+3181818+2477350+18256793+6707857+48779742+4467067+6604277+6529915+6529915</f>
        <v>367290094</v>
      </c>
      <c r="D19" s="66">
        <v>0</v>
      </c>
      <c r="E19" s="510"/>
      <c r="F19" s="508">
        <f>+B19+C19-D19</f>
        <v>6620868127</v>
      </c>
      <c r="G19" s="66">
        <v>4128997314</v>
      </c>
      <c r="H19" s="66">
        <f>99914401+70705672+82403463+89074876+86223790+98892434+89521202+82075430+88578360</f>
        <v>787389628</v>
      </c>
      <c r="I19" s="66">
        <v>0</v>
      </c>
      <c r="J19" s="510"/>
      <c r="K19" s="66">
        <f>+G19+H19-I19</f>
        <v>4916386942</v>
      </c>
      <c r="L19" s="508">
        <f t="shared" ref="L19:L22" si="0">+F19-K19</f>
        <v>1704481185</v>
      </c>
      <c r="M19" s="66">
        <v>2124580719</v>
      </c>
      <c r="N19" s="599"/>
      <c r="O19" s="423"/>
      <c r="P19" s="423"/>
      <c r="Q19" s="423"/>
      <c r="R19" s="423"/>
      <c r="S19" s="423"/>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4"/>
      <c r="BH19" s="834"/>
      <c r="BI19" s="834"/>
      <c r="BJ19" s="834"/>
      <c r="BK19" s="842"/>
      <c r="BL19" s="842"/>
      <c r="BM19" s="842"/>
      <c r="BN19" s="842"/>
      <c r="BO19" s="842"/>
      <c r="BP19" s="842"/>
      <c r="BQ19" s="842"/>
      <c r="BR19" s="842"/>
      <c r="BS19" s="842"/>
      <c r="BT19" s="842"/>
      <c r="BU19" s="842"/>
      <c r="BV19" s="842"/>
      <c r="BW19" s="842"/>
      <c r="BX19" s="842"/>
      <c r="BY19" s="842"/>
      <c r="BZ19" s="842"/>
      <c r="CA19" s="842"/>
      <c r="CB19" s="842"/>
      <c r="CC19" s="842"/>
      <c r="CD19" s="842"/>
      <c r="CE19" s="842"/>
      <c r="CF19" s="842"/>
      <c r="CG19" s="842"/>
      <c r="CH19" s="842"/>
      <c r="CI19" s="842"/>
      <c r="CJ19" s="842"/>
      <c r="CK19" s="842"/>
      <c r="CL19" s="842"/>
      <c r="CM19" s="842"/>
      <c r="CN19" s="842"/>
      <c r="CO19" s="842"/>
      <c r="CP19" s="842"/>
      <c r="CQ19" s="842"/>
      <c r="CR19" s="842"/>
      <c r="CS19" s="842"/>
      <c r="CT19" s="842"/>
      <c r="CU19" s="842"/>
      <c r="CV19" s="842"/>
      <c r="CW19" s="842"/>
      <c r="CX19" s="842"/>
    </row>
    <row r="20" spans="1:102">
      <c r="A20" s="25" t="s">
        <v>525</v>
      </c>
      <c r="B20" s="66">
        <v>3996107141</v>
      </c>
      <c r="C20" s="511">
        <f>359820474+2090909+3156274+62196818+10927273+51096799+1368000+1811045+1053636+8611364+916318+71622000+136853069+4272727+2363636+644545+6437243+2772273+2181818+1090909+56597740+883773+1090909+353181818+990909+686364+8409091+883773+3014091+956045+681818</f>
        <v>1158663461</v>
      </c>
      <c r="D20" s="66">
        <v>0</v>
      </c>
      <c r="E20" s="510"/>
      <c r="F20" s="508">
        <f t="shared" ref="F20:F26" si="1">+B20+C20-D20</f>
        <v>5154770602</v>
      </c>
      <c r="G20" s="66">
        <v>2689067099</v>
      </c>
      <c r="H20" s="66">
        <f>44722012+56186795+47814994+46399656+46054980+63431646+39054130+81867437+44029178</f>
        <v>469560828</v>
      </c>
      <c r="I20" s="66">
        <v>0</v>
      </c>
      <c r="J20" s="510"/>
      <c r="K20" s="66">
        <f t="shared" ref="K20:K31" si="2">+G20+H20-I20</f>
        <v>3158627927</v>
      </c>
      <c r="L20" s="508">
        <f t="shared" si="0"/>
        <v>1996142675</v>
      </c>
      <c r="M20" s="66">
        <v>1307040042</v>
      </c>
      <c r="N20" s="599"/>
      <c r="O20" s="423"/>
      <c r="P20" s="423"/>
      <c r="Q20" s="423"/>
      <c r="R20" s="423"/>
      <c r="S20" s="423"/>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4"/>
      <c r="AW20" s="834"/>
      <c r="AX20" s="834"/>
      <c r="AY20" s="834"/>
      <c r="AZ20" s="834"/>
      <c r="BA20" s="834"/>
      <c r="BB20" s="834"/>
      <c r="BC20" s="834"/>
      <c r="BD20" s="834"/>
      <c r="BE20" s="834"/>
      <c r="BF20" s="834"/>
      <c r="BG20" s="834"/>
      <c r="BH20" s="834"/>
      <c r="BI20" s="834"/>
      <c r="BJ20" s="834"/>
      <c r="BK20" s="842"/>
      <c r="BL20" s="842"/>
      <c r="BM20" s="842"/>
      <c r="BN20" s="842"/>
      <c r="BO20" s="842"/>
      <c r="BP20" s="842"/>
      <c r="BQ20" s="842"/>
      <c r="BR20" s="842"/>
      <c r="BS20" s="842"/>
      <c r="BT20" s="842"/>
      <c r="BU20" s="842"/>
      <c r="BV20" s="842"/>
      <c r="BW20" s="842"/>
      <c r="BX20" s="842"/>
      <c r="BY20" s="842"/>
      <c r="BZ20" s="842"/>
      <c r="CA20" s="842"/>
      <c r="CB20" s="842"/>
      <c r="CC20" s="842"/>
      <c r="CD20" s="842"/>
      <c r="CE20" s="842"/>
      <c r="CF20" s="842"/>
      <c r="CG20" s="842"/>
      <c r="CH20" s="842"/>
      <c r="CI20" s="842"/>
      <c r="CJ20" s="842"/>
      <c r="CK20" s="842"/>
      <c r="CL20" s="842"/>
      <c r="CM20" s="842"/>
      <c r="CN20" s="842"/>
      <c r="CO20" s="842"/>
      <c r="CP20" s="842"/>
      <c r="CQ20" s="842"/>
      <c r="CR20" s="842"/>
      <c r="CS20" s="842"/>
      <c r="CT20" s="842"/>
      <c r="CU20" s="842"/>
      <c r="CV20" s="842"/>
      <c r="CW20" s="842"/>
      <c r="CX20" s="842"/>
    </row>
    <row r="21" spans="1:102">
      <c r="A21" s="436" t="s">
        <v>526</v>
      </c>
      <c r="B21" s="601">
        <v>118899449367</v>
      </c>
      <c r="C21" s="601">
        <v>0</v>
      </c>
      <c r="D21" s="601">
        <v>0</v>
      </c>
      <c r="E21" s="602"/>
      <c r="F21" s="549">
        <f t="shared" si="1"/>
        <v>118899449367</v>
      </c>
      <c r="G21" s="601">
        <v>27729741000</v>
      </c>
      <c r="H21" s="601">
        <f>213342375+213342375+213342375+213342375+210325713+216359036+213342375+213342375+213342375</f>
        <v>1920081374</v>
      </c>
      <c r="I21" s="601">
        <v>0</v>
      </c>
      <c r="J21" s="602"/>
      <c r="K21" s="601">
        <f>+G21+H21+I21</f>
        <v>29649822374</v>
      </c>
      <c r="L21" s="549">
        <f>+F21-K21</f>
        <v>89249626993</v>
      </c>
      <c r="M21" s="601">
        <v>91169708367</v>
      </c>
      <c r="N21" s="440"/>
      <c r="O21" s="603"/>
      <c r="P21" s="603"/>
      <c r="Q21" s="603"/>
      <c r="R21" s="603"/>
      <c r="S21" s="603"/>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c r="AU21" s="842"/>
      <c r="AV21" s="842"/>
      <c r="AW21" s="842"/>
      <c r="AX21" s="842"/>
      <c r="AY21" s="842"/>
      <c r="AZ21" s="842"/>
      <c r="BA21" s="842"/>
      <c r="BB21" s="842"/>
      <c r="BC21" s="842"/>
      <c r="BD21" s="842"/>
      <c r="BE21" s="842"/>
      <c r="BF21" s="842"/>
      <c r="BG21" s="842"/>
      <c r="BH21" s="842"/>
      <c r="BI21" s="842"/>
      <c r="BJ21" s="842"/>
      <c r="BK21" s="842"/>
      <c r="BL21" s="842"/>
      <c r="BM21" s="842"/>
      <c r="BN21" s="842"/>
      <c r="BO21" s="842"/>
      <c r="BP21" s="842"/>
      <c r="BQ21" s="842"/>
      <c r="BR21" s="842"/>
      <c r="BS21" s="842"/>
      <c r="BT21" s="842"/>
      <c r="BU21" s="842"/>
      <c r="BV21" s="842"/>
      <c r="BW21" s="842"/>
      <c r="BX21" s="842"/>
      <c r="BY21" s="842"/>
      <c r="BZ21" s="842"/>
      <c r="CA21" s="842"/>
      <c r="CB21" s="842"/>
      <c r="CC21" s="842"/>
      <c r="CD21" s="842"/>
      <c r="CE21" s="842"/>
      <c r="CF21" s="842"/>
      <c r="CG21" s="842"/>
      <c r="CH21" s="842"/>
      <c r="CI21" s="842"/>
      <c r="CJ21" s="842"/>
      <c r="CK21" s="842"/>
      <c r="CL21" s="842"/>
      <c r="CM21" s="842"/>
      <c r="CN21" s="842"/>
      <c r="CO21" s="842"/>
      <c r="CP21" s="842"/>
      <c r="CQ21" s="842"/>
      <c r="CR21" s="842"/>
      <c r="CS21" s="842"/>
      <c r="CT21" s="842"/>
      <c r="CU21" s="842"/>
      <c r="CV21" s="842"/>
      <c r="CW21" s="842"/>
      <c r="CX21" s="842"/>
    </row>
    <row r="22" spans="1:102">
      <c r="A22" s="25" t="s">
        <v>527</v>
      </c>
      <c r="B22" s="66">
        <v>6800922122</v>
      </c>
      <c r="C22" s="66">
        <f>131199974+140575987+542581831+542581831+291624000</f>
        <v>1648563623</v>
      </c>
      <c r="D22" s="66">
        <f>86811793</f>
        <v>86811793</v>
      </c>
      <c r="E22" s="510"/>
      <c r="F22" s="508">
        <f>+B22+C22-D22</f>
        <v>8362673952</v>
      </c>
      <c r="G22" s="66">
        <v>4821566051</v>
      </c>
      <c r="H22" s="66">
        <f>43710474+43710474+52990666+45977093+45977093+41082132+41082132+40829599+153248943</f>
        <v>508608606</v>
      </c>
      <c r="I22" s="66">
        <v>2480337</v>
      </c>
      <c r="J22" s="510"/>
      <c r="K22" s="66">
        <f t="shared" si="2"/>
        <v>5327694320</v>
      </c>
      <c r="L22" s="508">
        <f t="shared" si="0"/>
        <v>3034979632</v>
      </c>
      <c r="M22" s="66">
        <v>1979356071</v>
      </c>
      <c r="N22" s="599"/>
      <c r="O22" s="423"/>
      <c r="P22" s="423"/>
      <c r="Q22" s="423"/>
      <c r="R22" s="423"/>
      <c r="S22" s="423"/>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834"/>
      <c r="BD22" s="834"/>
      <c r="BE22" s="834"/>
      <c r="BF22" s="834"/>
      <c r="BG22" s="834"/>
      <c r="BH22" s="834"/>
      <c r="BI22" s="834"/>
      <c r="BJ22" s="834"/>
      <c r="BK22" s="842"/>
      <c r="BL22" s="842"/>
      <c r="BM22" s="842"/>
      <c r="BN22" s="842"/>
      <c r="BO22" s="842"/>
      <c r="BP22" s="842"/>
      <c r="BQ22" s="842"/>
      <c r="BR22" s="842"/>
      <c r="BS22" s="842"/>
      <c r="BT22" s="842"/>
      <c r="BU22" s="842"/>
      <c r="BV22" s="842"/>
      <c r="BW22" s="842"/>
      <c r="BX22" s="842"/>
      <c r="BY22" s="842"/>
      <c r="BZ22" s="842"/>
      <c r="CA22" s="842"/>
      <c r="CB22" s="842"/>
      <c r="CC22" s="842"/>
      <c r="CD22" s="842"/>
      <c r="CE22" s="842"/>
      <c r="CF22" s="842"/>
      <c r="CG22" s="842"/>
      <c r="CH22" s="842"/>
      <c r="CI22" s="842"/>
      <c r="CJ22" s="842"/>
      <c r="CK22" s="842"/>
      <c r="CL22" s="842"/>
      <c r="CM22" s="842"/>
      <c r="CN22" s="842"/>
      <c r="CO22" s="842"/>
      <c r="CP22" s="842"/>
      <c r="CQ22" s="842"/>
      <c r="CR22" s="842"/>
      <c r="CS22" s="842"/>
      <c r="CT22" s="842"/>
      <c r="CU22" s="842"/>
      <c r="CV22" s="842"/>
      <c r="CW22" s="842"/>
      <c r="CX22" s="842"/>
    </row>
    <row r="23" spans="1:102">
      <c r="A23" s="25" t="s">
        <v>528</v>
      </c>
      <c r="B23" s="66">
        <v>15791251293</v>
      </c>
      <c r="C23" s="66">
        <f>126435165+15409091+76667727+25769091+15158636+14237273+9919091+1295667+3500698+4363021+186923828+1077273+10863637+4454545+19945886+7727273+34381818+2790000+5694904+13972103+23636364+41363636+12899225+1687273+2574545+15900000+2574545+8704397+3948841+3310744+65000000+2574545+6809649+4837211+3123559+9952830+5099700+6809649+110170448</f>
        <v>911563888</v>
      </c>
      <c r="D23" s="66">
        <f>1099687+2574545</f>
        <v>3674232</v>
      </c>
      <c r="E23" s="510"/>
      <c r="F23" s="508">
        <f t="shared" si="1"/>
        <v>16699140949</v>
      </c>
      <c r="G23" s="66">
        <v>14041630283</v>
      </c>
      <c r="H23" s="66">
        <f>86502792+30878721+32223237+28581610+38015133+28283482+32696705+31475955+34614975</f>
        <v>343272610</v>
      </c>
      <c r="I23" s="66">
        <v>0</v>
      </c>
      <c r="J23" s="510"/>
      <c r="K23" s="66">
        <f t="shared" si="2"/>
        <v>14384902893</v>
      </c>
      <c r="L23" s="508">
        <f>+F23-K23</f>
        <v>2314238056</v>
      </c>
      <c r="M23" s="66">
        <v>1749621010</v>
      </c>
      <c r="N23" s="599"/>
      <c r="O23" s="423"/>
      <c r="P23" s="423"/>
      <c r="Q23" s="423"/>
      <c r="R23" s="423"/>
      <c r="S23" s="423"/>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c r="BG23" s="834"/>
      <c r="BH23" s="834"/>
      <c r="BI23" s="834"/>
      <c r="BJ23" s="834"/>
      <c r="BK23" s="842"/>
      <c r="BL23" s="842"/>
      <c r="BM23" s="842"/>
      <c r="BN23" s="842"/>
      <c r="BO23" s="842"/>
      <c r="BP23" s="842"/>
      <c r="BQ23" s="842"/>
      <c r="BR23" s="842"/>
      <c r="BS23" s="842"/>
      <c r="BT23" s="842"/>
      <c r="BU23" s="842"/>
      <c r="BV23" s="842"/>
      <c r="BW23" s="842"/>
      <c r="BX23" s="842"/>
      <c r="BY23" s="842"/>
      <c r="BZ23" s="842"/>
      <c r="CA23" s="842"/>
      <c r="CB23" s="842"/>
      <c r="CC23" s="842"/>
      <c r="CD23" s="842"/>
      <c r="CE23" s="842"/>
      <c r="CF23" s="842"/>
      <c r="CG23" s="842"/>
      <c r="CH23" s="842"/>
      <c r="CI23" s="842"/>
      <c r="CJ23" s="842"/>
      <c r="CK23" s="842"/>
      <c r="CL23" s="842"/>
      <c r="CM23" s="842"/>
      <c r="CN23" s="842"/>
      <c r="CO23" s="842"/>
      <c r="CP23" s="842"/>
      <c r="CQ23" s="842"/>
      <c r="CR23" s="842"/>
      <c r="CS23" s="842"/>
      <c r="CT23" s="842"/>
      <c r="CU23" s="842"/>
      <c r="CV23" s="842"/>
      <c r="CW23" s="842"/>
      <c r="CX23" s="842"/>
    </row>
    <row r="24" spans="1:102">
      <c r="A24" s="25" t="s">
        <v>529</v>
      </c>
      <c r="B24" s="66">
        <v>496745012</v>
      </c>
      <c r="C24" s="66">
        <f>236363636+5457745+7212011+1772727+11690909+109090909+33472727+49209091+76941223+110643144+410806220+40909091+9880000+88821906+2272727+186279154+11945455+4362785+3247600+17589060+164397456+8129615+2318182+13033341+7692845+1745455+8439412+2804318+2513636+6330455+15814345+36363636+39090909+45454545+29165398+74146023+15825150+24713715+8181818+7859091+11363636+11863636+7272727+13000000+46413690+5625171+76112969+157272727+299062310+70220469+45936893+28790909+2377366+41766060+27844040+781140+1686364+1363636+7120364+15860051+5088894+36299825+23690898+1500000+198169156+11992386+14333673+666000+8727273+105106000+66740909</f>
        <v>3276036637</v>
      </c>
      <c r="D24" s="66">
        <f>39090909+36363636+11945455+13000000+7859091+7272727+8181818</f>
        <v>123713636</v>
      </c>
      <c r="E24" s="510"/>
      <c r="F24" s="66">
        <f t="shared" si="1"/>
        <v>3649068013</v>
      </c>
      <c r="G24" s="66">
        <v>0</v>
      </c>
      <c r="H24" s="66">
        <v>0</v>
      </c>
      <c r="I24" s="66">
        <v>0</v>
      </c>
      <c r="J24" s="510"/>
      <c r="K24" s="66">
        <f t="shared" si="2"/>
        <v>0</v>
      </c>
      <c r="L24" s="548">
        <f>+F24-K24</f>
        <v>3649068013</v>
      </c>
      <c r="M24" s="66">
        <v>496745012</v>
      </c>
      <c r="N24" s="599"/>
      <c r="O24" s="423"/>
      <c r="P24" s="423"/>
      <c r="Q24" s="423"/>
      <c r="R24" s="423"/>
      <c r="S24" s="423"/>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4"/>
      <c r="BE24" s="834"/>
      <c r="BF24" s="834"/>
      <c r="BG24" s="834"/>
      <c r="BH24" s="834"/>
      <c r="BI24" s="834"/>
      <c r="BJ24" s="834"/>
      <c r="BK24" s="842"/>
      <c r="BL24" s="842"/>
      <c r="BM24" s="842"/>
      <c r="BN24" s="842"/>
      <c r="BO24" s="842"/>
      <c r="BP24" s="842"/>
      <c r="BQ24" s="842"/>
      <c r="BR24" s="842"/>
      <c r="BS24" s="842"/>
      <c r="BT24" s="842"/>
      <c r="BU24" s="842"/>
      <c r="BV24" s="842"/>
      <c r="BW24" s="842"/>
      <c r="BX24" s="842"/>
      <c r="BY24" s="842"/>
      <c r="BZ24" s="842"/>
      <c r="CA24" s="842"/>
      <c r="CB24" s="842"/>
      <c r="CC24" s="842"/>
      <c r="CD24" s="842"/>
      <c r="CE24" s="842"/>
      <c r="CF24" s="842"/>
      <c r="CG24" s="842"/>
      <c r="CH24" s="842"/>
      <c r="CI24" s="842"/>
      <c r="CJ24" s="842"/>
      <c r="CK24" s="842"/>
      <c r="CL24" s="842"/>
      <c r="CM24" s="842"/>
      <c r="CN24" s="842"/>
      <c r="CO24" s="842"/>
      <c r="CP24" s="842"/>
      <c r="CQ24" s="842"/>
      <c r="CR24" s="842"/>
      <c r="CS24" s="842"/>
      <c r="CT24" s="842"/>
      <c r="CU24" s="842"/>
      <c r="CV24" s="842"/>
      <c r="CW24" s="842"/>
      <c r="CX24" s="842"/>
    </row>
    <row r="25" spans="1:102">
      <c r="A25" s="25" t="s">
        <v>530</v>
      </c>
      <c r="B25" s="66">
        <v>1826371556</v>
      </c>
      <c r="C25" s="66">
        <f>45454545+76363650+27681818+34390909</f>
        <v>183890922</v>
      </c>
      <c r="D25" s="66">
        <v>0</v>
      </c>
      <c r="E25" s="510"/>
      <c r="F25" s="508">
        <f t="shared" si="1"/>
        <v>2010262478</v>
      </c>
      <c r="G25" s="66">
        <v>1774910854</v>
      </c>
      <c r="H25" s="66">
        <f>4779286+4779286+4779286+4675776+8217761+12425804+13135149+9492291+5382403</f>
        <v>67667042</v>
      </c>
      <c r="I25" s="66">
        <v>0</v>
      </c>
      <c r="J25" s="510"/>
      <c r="K25" s="66">
        <f t="shared" si="2"/>
        <v>1842577896</v>
      </c>
      <c r="L25" s="549">
        <f>+F25-K25</f>
        <v>167684582</v>
      </c>
      <c r="M25" s="66">
        <v>51460702</v>
      </c>
      <c r="N25" s="599"/>
      <c r="O25" s="423"/>
      <c r="P25" s="423"/>
      <c r="Q25" s="423"/>
      <c r="R25" s="423"/>
      <c r="S25" s="423"/>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834"/>
      <c r="BK25" s="842"/>
      <c r="BL25" s="842"/>
      <c r="BM25" s="842"/>
      <c r="BN25" s="842"/>
      <c r="BO25" s="842"/>
      <c r="BP25" s="842"/>
      <c r="BQ25" s="842"/>
      <c r="BR25" s="842"/>
      <c r="BS25" s="842"/>
      <c r="BT25" s="842"/>
      <c r="BU25" s="842"/>
      <c r="BV25" s="842"/>
      <c r="BW25" s="842"/>
      <c r="BX25" s="842"/>
      <c r="BY25" s="842"/>
      <c r="BZ25" s="842"/>
      <c r="CA25" s="842"/>
      <c r="CB25" s="842"/>
      <c r="CC25" s="842"/>
      <c r="CD25" s="842"/>
      <c r="CE25" s="842"/>
      <c r="CF25" s="842"/>
      <c r="CG25" s="842"/>
      <c r="CH25" s="842"/>
      <c r="CI25" s="842"/>
      <c r="CJ25" s="842"/>
      <c r="CK25" s="842"/>
      <c r="CL25" s="842"/>
      <c r="CM25" s="842"/>
      <c r="CN25" s="842"/>
      <c r="CO25" s="842"/>
      <c r="CP25" s="842"/>
      <c r="CQ25" s="842"/>
      <c r="CR25" s="842"/>
      <c r="CS25" s="842"/>
      <c r="CT25" s="842"/>
      <c r="CU25" s="842"/>
      <c r="CV25" s="842"/>
      <c r="CW25" s="842"/>
      <c r="CX25" s="842"/>
    </row>
    <row r="26" spans="1:102">
      <c r="A26" s="25" t="s">
        <v>531</v>
      </c>
      <c r="B26" s="66">
        <v>3746716084</v>
      </c>
      <c r="C26" s="66">
        <v>1676596193</v>
      </c>
      <c r="D26" s="66">
        <v>0</v>
      </c>
      <c r="E26" s="510"/>
      <c r="F26" s="508">
        <f t="shared" si="1"/>
        <v>5423312277</v>
      </c>
      <c r="G26" s="66">
        <v>2825513979</v>
      </c>
      <c r="H26" s="66">
        <f>43863575+43863575+43863575+43863575+43863575+43863575+43863575+43863575+226764980</f>
        <v>577673580</v>
      </c>
      <c r="I26" s="66">
        <v>0</v>
      </c>
      <c r="J26" s="510"/>
      <c r="K26" s="66">
        <f t="shared" si="2"/>
        <v>3403187559</v>
      </c>
      <c r="L26" s="549">
        <f>+F26-K26</f>
        <v>2020124718</v>
      </c>
      <c r="M26" s="66">
        <v>921202105</v>
      </c>
      <c r="N26" s="599"/>
      <c r="O26" s="423"/>
      <c r="P26" s="423"/>
      <c r="Q26" s="423"/>
      <c r="R26" s="423"/>
      <c r="S26" s="423"/>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4"/>
      <c r="AY26" s="834"/>
      <c r="AZ26" s="834"/>
      <c r="BA26" s="834"/>
      <c r="BB26" s="834"/>
      <c r="BC26" s="834"/>
      <c r="BD26" s="834"/>
      <c r="BE26" s="834"/>
      <c r="BF26" s="834"/>
      <c r="BG26" s="834"/>
      <c r="BH26" s="834"/>
      <c r="BI26" s="834"/>
      <c r="BJ26" s="834"/>
      <c r="BK26" s="842"/>
      <c r="BL26" s="842"/>
      <c r="BM26" s="842"/>
      <c r="BN26" s="842"/>
      <c r="BO26" s="842"/>
      <c r="BP26" s="842"/>
      <c r="BQ26" s="842"/>
      <c r="BR26" s="842"/>
      <c r="BS26" s="842"/>
      <c r="BT26" s="842"/>
      <c r="BU26" s="842"/>
      <c r="BV26" s="842"/>
      <c r="BW26" s="842"/>
      <c r="BX26" s="842"/>
      <c r="BY26" s="842"/>
      <c r="BZ26" s="842"/>
      <c r="CA26" s="842"/>
      <c r="CB26" s="842"/>
      <c r="CC26" s="842"/>
      <c r="CD26" s="842"/>
      <c r="CE26" s="842"/>
      <c r="CF26" s="842"/>
      <c r="CG26" s="842"/>
      <c r="CH26" s="842"/>
      <c r="CI26" s="842"/>
      <c r="CJ26" s="842"/>
      <c r="CK26" s="842"/>
      <c r="CL26" s="842"/>
      <c r="CM26" s="842"/>
      <c r="CN26" s="842"/>
      <c r="CO26" s="842"/>
      <c r="CP26" s="842"/>
      <c r="CQ26" s="842"/>
      <c r="CR26" s="842"/>
      <c r="CS26" s="842"/>
      <c r="CT26" s="842"/>
      <c r="CU26" s="842"/>
      <c r="CV26" s="842"/>
      <c r="CW26" s="842"/>
      <c r="CX26" s="842"/>
    </row>
    <row r="27" spans="1:102">
      <c r="A27" s="879" t="s">
        <v>532</v>
      </c>
      <c r="B27" s="880">
        <f>SUM(B18:B26)</f>
        <v>174067490828</v>
      </c>
      <c r="C27" s="880">
        <f>SUM(C18:C26)</f>
        <v>12279285470</v>
      </c>
      <c r="D27" s="880">
        <f>SUM(D18:D26)</f>
        <v>239947294</v>
      </c>
      <c r="E27" s="881"/>
      <c r="F27" s="880">
        <f>SUM(F18:F26)</f>
        <v>186106829004</v>
      </c>
      <c r="G27" s="880">
        <f>SUM(G18:G26)</f>
        <v>66869698373</v>
      </c>
      <c r="H27" s="880">
        <f>SUM(H18:H26)</f>
        <v>6164469467</v>
      </c>
      <c r="I27" s="880">
        <f>SUM(I18:I26)</f>
        <v>10507769</v>
      </c>
      <c r="J27" s="882"/>
      <c r="K27" s="880">
        <f>SUM(K18:K26)</f>
        <v>73023660071</v>
      </c>
      <c r="L27" s="880">
        <f>SUM($L$18:L26)</f>
        <v>113083168933</v>
      </c>
      <c r="M27" s="880">
        <f>SUM($M$18:M26)</f>
        <v>107197792455</v>
      </c>
      <c r="N27" s="599"/>
      <c r="O27" s="423"/>
      <c r="P27" s="423"/>
      <c r="Q27" s="423"/>
      <c r="R27" s="423"/>
      <c r="S27" s="423"/>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4"/>
      <c r="BJ27" s="834"/>
      <c r="BK27" s="842"/>
      <c r="BL27" s="842"/>
      <c r="BM27" s="842"/>
      <c r="BN27" s="842"/>
      <c r="BO27" s="842"/>
      <c r="BP27" s="842"/>
      <c r="BQ27" s="842"/>
      <c r="BR27" s="842"/>
      <c r="BS27" s="842"/>
      <c r="BT27" s="842"/>
      <c r="BU27" s="842"/>
      <c r="BV27" s="842"/>
      <c r="BW27" s="842"/>
      <c r="BX27" s="842"/>
      <c r="BY27" s="842"/>
      <c r="BZ27" s="842"/>
      <c r="CA27" s="842"/>
      <c r="CB27" s="842"/>
      <c r="CC27" s="842"/>
      <c r="CD27" s="842"/>
      <c r="CE27" s="842"/>
      <c r="CF27" s="842"/>
      <c r="CG27" s="842"/>
      <c r="CH27" s="842"/>
      <c r="CI27" s="842"/>
      <c r="CJ27" s="842"/>
      <c r="CK27" s="842"/>
      <c r="CL27" s="842"/>
      <c r="CM27" s="842"/>
      <c r="CN27" s="842"/>
      <c r="CO27" s="842"/>
      <c r="CP27" s="842"/>
      <c r="CQ27" s="842"/>
      <c r="CR27" s="842"/>
      <c r="CS27" s="842"/>
      <c r="CT27" s="842"/>
      <c r="CU27" s="842"/>
      <c r="CV27" s="842"/>
      <c r="CW27" s="842"/>
      <c r="CX27" s="842"/>
    </row>
    <row r="28" spans="1:102">
      <c r="A28" s="433"/>
      <c r="B28" s="883"/>
      <c r="C28" s="520"/>
      <c r="D28" s="520"/>
      <c r="E28" s="518"/>
      <c r="F28" s="519"/>
      <c r="G28" s="519"/>
      <c r="H28" s="520"/>
      <c r="I28" s="520"/>
      <c r="J28" s="536"/>
      <c r="K28" s="519"/>
      <c r="L28" s="520"/>
      <c r="M28" s="520"/>
      <c r="N28" s="599"/>
      <c r="O28" s="423"/>
      <c r="P28" s="423"/>
      <c r="Q28" s="423"/>
      <c r="R28" s="423"/>
      <c r="S28" s="423"/>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4"/>
      <c r="AY28" s="834"/>
      <c r="AZ28" s="834"/>
      <c r="BA28" s="834"/>
      <c r="BB28" s="834"/>
      <c r="BC28" s="834"/>
      <c r="BD28" s="834"/>
      <c r="BE28" s="834"/>
      <c r="BF28" s="834"/>
      <c r="BG28" s="834"/>
      <c r="BH28" s="834"/>
      <c r="BI28" s="834"/>
      <c r="BJ28" s="834"/>
      <c r="BK28" s="842"/>
      <c r="BL28" s="842"/>
      <c r="BM28" s="842"/>
      <c r="BN28" s="842"/>
      <c r="BO28" s="842"/>
      <c r="BP28" s="842"/>
      <c r="BQ28" s="842"/>
      <c r="BR28" s="842"/>
      <c r="BS28" s="842"/>
      <c r="BT28" s="842"/>
      <c r="BU28" s="842"/>
      <c r="BV28" s="842"/>
      <c r="BW28" s="842"/>
      <c r="BX28" s="842"/>
      <c r="BY28" s="842"/>
      <c r="BZ28" s="842"/>
      <c r="CA28" s="842"/>
      <c r="CB28" s="842"/>
      <c r="CC28" s="842"/>
      <c r="CD28" s="842"/>
      <c r="CE28" s="842"/>
      <c r="CF28" s="842"/>
      <c r="CG28" s="842"/>
      <c r="CH28" s="842"/>
      <c r="CI28" s="842"/>
      <c r="CJ28" s="842"/>
      <c r="CK28" s="842"/>
      <c r="CL28" s="842"/>
      <c r="CM28" s="842"/>
      <c r="CN28" s="842"/>
      <c r="CO28" s="842"/>
      <c r="CP28" s="842"/>
      <c r="CQ28" s="842"/>
      <c r="CR28" s="842"/>
      <c r="CS28" s="842"/>
      <c r="CT28" s="842"/>
      <c r="CU28" s="842"/>
      <c r="CV28" s="842"/>
      <c r="CW28" s="842"/>
      <c r="CX28" s="842"/>
    </row>
    <row r="29" spans="1:102">
      <c r="A29" s="434" t="s">
        <v>533</v>
      </c>
      <c r="B29" s="520"/>
      <c r="C29" s="520"/>
      <c r="D29" s="520"/>
      <c r="E29" s="518"/>
      <c r="F29" s="519"/>
      <c r="G29" s="519"/>
      <c r="H29" s="520"/>
      <c r="I29" s="520"/>
      <c r="J29" s="536"/>
      <c r="K29" s="519"/>
      <c r="L29" s="520"/>
      <c r="M29" s="520"/>
      <c r="N29" s="599"/>
      <c r="O29" s="423"/>
      <c r="P29" s="423"/>
      <c r="Q29" s="423"/>
      <c r="R29" s="423"/>
      <c r="S29" s="423"/>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4"/>
      <c r="AY29" s="834"/>
      <c r="AZ29" s="834"/>
      <c r="BA29" s="834"/>
      <c r="BB29" s="834"/>
      <c r="BC29" s="834"/>
      <c r="BD29" s="834"/>
      <c r="BE29" s="834"/>
      <c r="BF29" s="834"/>
      <c r="BG29" s="834"/>
      <c r="BH29" s="834"/>
      <c r="BI29" s="834"/>
      <c r="BJ29" s="834"/>
      <c r="BK29" s="842"/>
      <c r="BL29" s="842"/>
      <c r="BM29" s="842"/>
      <c r="BN29" s="842"/>
      <c r="BO29" s="842"/>
      <c r="BP29" s="842"/>
      <c r="BQ29" s="842"/>
      <c r="BR29" s="842"/>
      <c r="BS29" s="842"/>
      <c r="BT29" s="842"/>
      <c r="BU29" s="842"/>
      <c r="BV29" s="842"/>
      <c r="BW29" s="842"/>
      <c r="BX29" s="842"/>
      <c r="BY29" s="842"/>
      <c r="BZ29" s="842"/>
      <c r="CA29" s="842"/>
      <c r="CB29" s="842"/>
      <c r="CC29" s="842"/>
      <c r="CD29" s="842"/>
      <c r="CE29" s="842"/>
      <c r="CF29" s="842"/>
      <c r="CG29" s="842"/>
      <c r="CH29" s="842"/>
      <c r="CI29" s="842"/>
      <c r="CJ29" s="842"/>
      <c r="CK29" s="842"/>
      <c r="CL29" s="842"/>
      <c r="CM29" s="842"/>
      <c r="CN29" s="842"/>
      <c r="CO29" s="842"/>
      <c r="CP29" s="842"/>
      <c r="CQ29" s="842"/>
      <c r="CR29" s="842"/>
      <c r="CS29" s="842"/>
      <c r="CT29" s="842"/>
      <c r="CU29" s="842"/>
      <c r="CV29" s="842"/>
      <c r="CW29" s="842"/>
      <c r="CX29" s="842"/>
    </row>
    <row r="30" spans="1:102">
      <c r="A30" s="435" t="s">
        <v>534</v>
      </c>
      <c r="B30" s="519">
        <f>4881818+977199205+974781158+297474352+57074383</f>
        <v>2311410916</v>
      </c>
      <c r="C30" s="519">
        <f>11263636+6514735+855588+7514371+59563636+192934655+30317267+10575791+5200000+90262000+72727273+41094000+74515840+53264400+72727273+21857455+163636364+6880000+4181918+6516364+113612727+14715520+437786674+208636364+21384000+32150000+38064000+990000+3870000+62636364+136363636</f>
        <v>2002611851</v>
      </c>
      <c r="D30" s="519">
        <f>190737532+33384752+72727273+72727273+21857455+163636364+208636364+59239608+6516364+13116344</f>
        <v>842579329</v>
      </c>
      <c r="E30" s="518"/>
      <c r="F30" s="526">
        <f>+B30+C30-D30</f>
        <v>3471443438</v>
      </c>
      <c r="G30" s="519">
        <v>534212371</v>
      </c>
      <c r="H30" s="519">
        <f>11896733+7931155+3965578+3965578+3867367+4063788</f>
        <v>35690199</v>
      </c>
      <c r="I30" s="519">
        <v>0</v>
      </c>
      <c r="J30" s="518"/>
      <c r="K30" s="529">
        <f t="shared" si="2"/>
        <v>569902570</v>
      </c>
      <c r="L30" s="526">
        <f>+F30-K30</f>
        <v>2901540868</v>
      </c>
      <c r="M30" s="519">
        <v>1777198545</v>
      </c>
      <c r="N30" s="599"/>
      <c r="O30" s="423"/>
      <c r="P30" s="423"/>
      <c r="Q30" s="423"/>
      <c r="R30" s="423"/>
      <c r="S30" s="423"/>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c r="BE30" s="834"/>
      <c r="BF30" s="834"/>
      <c r="BG30" s="834"/>
      <c r="BH30" s="834"/>
      <c r="BI30" s="834"/>
      <c r="BJ30" s="834"/>
      <c r="BK30" s="842"/>
      <c r="BL30" s="842"/>
      <c r="BM30" s="842"/>
      <c r="BN30" s="842"/>
      <c r="BO30" s="842"/>
      <c r="BP30" s="842"/>
      <c r="BQ30" s="842"/>
      <c r="BR30" s="842"/>
      <c r="BS30" s="842"/>
      <c r="BT30" s="842"/>
      <c r="BU30" s="842"/>
      <c r="BV30" s="842"/>
      <c r="BW30" s="842"/>
      <c r="BX30" s="842"/>
      <c r="BY30" s="842"/>
      <c r="BZ30" s="842"/>
      <c r="CA30" s="842"/>
      <c r="CB30" s="842"/>
      <c r="CC30" s="842"/>
      <c r="CD30" s="842"/>
      <c r="CE30" s="842"/>
      <c r="CF30" s="842"/>
      <c r="CG30" s="842"/>
      <c r="CH30" s="842"/>
      <c r="CI30" s="842"/>
      <c r="CJ30" s="842"/>
      <c r="CK30" s="842"/>
      <c r="CL30" s="842"/>
      <c r="CM30" s="842"/>
      <c r="CN30" s="842"/>
      <c r="CO30" s="842"/>
      <c r="CP30" s="842"/>
      <c r="CQ30" s="842"/>
      <c r="CR30" s="842"/>
      <c r="CS30" s="842"/>
      <c r="CT30" s="842"/>
      <c r="CU30" s="842"/>
      <c r="CV30" s="842"/>
      <c r="CW30" s="842"/>
      <c r="CX30" s="842"/>
    </row>
    <row r="31" spans="1:102">
      <c r="A31" s="435" t="s">
        <v>528</v>
      </c>
      <c r="B31" s="519">
        <v>917559697</v>
      </c>
      <c r="C31" s="519">
        <v>0</v>
      </c>
      <c r="D31" s="519">
        <v>0</v>
      </c>
      <c r="E31" s="518"/>
      <c r="F31" s="526">
        <f>+B31+C31-D31</f>
        <v>917559697</v>
      </c>
      <c r="G31" s="519">
        <v>696800266</v>
      </c>
      <c r="H31" s="519">
        <f>8201009+5200404+2600202+2600202+2600202+2600202</f>
        <v>23802221</v>
      </c>
      <c r="I31" s="519">
        <v>0</v>
      </c>
      <c r="J31" s="518"/>
      <c r="K31" s="529">
        <f t="shared" si="2"/>
        <v>720602487</v>
      </c>
      <c r="L31" s="526">
        <f>+F31-K31</f>
        <v>196957210</v>
      </c>
      <c r="M31" s="519">
        <v>220759431</v>
      </c>
      <c r="N31" s="599"/>
      <c r="O31" s="423"/>
      <c r="P31" s="423"/>
      <c r="Q31" s="423"/>
      <c r="R31" s="423"/>
      <c r="S31" s="423"/>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4"/>
      <c r="AY31" s="834"/>
      <c r="AZ31" s="834"/>
      <c r="BA31" s="834"/>
      <c r="BB31" s="834"/>
      <c r="BC31" s="834"/>
      <c r="BD31" s="834"/>
      <c r="BE31" s="834"/>
      <c r="BF31" s="834"/>
      <c r="BG31" s="834"/>
      <c r="BH31" s="834"/>
      <c r="BI31" s="834"/>
      <c r="BJ31" s="834"/>
      <c r="BK31" s="842"/>
      <c r="BL31" s="842"/>
      <c r="BM31" s="842"/>
      <c r="BN31" s="842"/>
      <c r="BO31" s="842"/>
      <c r="BP31" s="842"/>
      <c r="BQ31" s="842"/>
      <c r="BR31" s="842"/>
      <c r="BS31" s="842"/>
      <c r="BT31" s="842"/>
      <c r="BU31" s="842"/>
      <c r="BV31" s="842"/>
      <c r="BW31" s="842"/>
      <c r="BX31" s="842"/>
      <c r="BY31" s="842"/>
      <c r="BZ31" s="842"/>
      <c r="CA31" s="842"/>
      <c r="CB31" s="842"/>
      <c r="CC31" s="842"/>
      <c r="CD31" s="842"/>
      <c r="CE31" s="842"/>
      <c r="CF31" s="842"/>
      <c r="CG31" s="842"/>
      <c r="CH31" s="842"/>
      <c r="CI31" s="842"/>
      <c r="CJ31" s="842"/>
      <c r="CK31" s="842"/>
      <c r="CL31" s="842"/>
      <c r="CM31" s="842"/>
      <c r="CN31" s="842"/>
      <c r="CO31" s="842"/>
      <c r="CP31" s="842"/>
      <c r="CQ31" s="842"/>
      <c r="CR31" s="842"/>
      <c r="CS31" s="842"/>
      <c r="CT31" s="842"/>
      <c r="CU31" s="842"/>
      <c r="CV31" s="842"/>
      <c r="CW31" s="842"/>
      <c r="CX31" s="842"/>
    </row>
    <row r="32" spans="1:102">
      <c r="A32" s="435" t="s">
        <v>535</v>
      </c>
      <c r="B32" s="884">
        <f>7947804671+3224447242+1338589644+10057176919+59942704+321600302+1986572560+38483202+49053841+1653549810+715689642</f>
        <v>27392910537</v>
      </c>
      <c r="C32" s="519">
        <f>657342+2180000+98202000+3770000+95228000+20395000+15282200+2780000+13507860+11360600+15030592+50762986+104284272+4666386+4681790+152735091+23096000+29742932+3641820+16160000+28090000+7875000+1800000+59239608+18555780+13116344+546101093+2040980+118227273+26500000+74200000+27945455+49090909</f>
        <v>1640947313</v>
      </c>
      <c r="D32" s="519">
        <v>90262000</v>
      </c>
      <c r="E32" s="518"/>
      <c r="F32" s="526">
        <f>+B32+C32-D32</f>
        <v>28943595850</v>
      </c>
      <c r="G32" s="519">
        <v>13062179149</v>
      </c>
      <c r="H32" s="519">
        <f>383544025+245775434+124050363+126196266+126544154+127534114</f>
        <v>1133644356</v>
      </c>
      <c r="I32" s="519">
        <v>0</v>
      </c>
      <c r="J32" s="518"/>
      <c r="K32" s="519">
        <f>G32+H32-I32</f>
        <v>14195823505</v>
      </c>
      <c r="L32" s="526">
        <f>+F32-K32</f>
        <v>14747772345</v>
      </c>
      <c r="M32" s="519">
        <v>14330731388</v>
      </c>
      <c r="N32" s="599"/>
      <c r="O32" s="423"/>
      <c r="P32" s="423"/>
      <c r="Q32" s="423"/>
      <c r="R32" s="423"/>
      <c r="S32" s="423"/>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4"/>
      <c r="BC32" s="834"/>
      <c r="BD32" s="834"/>
      <c r="BE32" s="834"/>
      <c r="BF32" s="834"/>
      <c r="BG32" s="834"/>
      <c r="BH32" s="834"/>
      <c r="BI32" s="834"/>
      <c r="BJ32" s="834"/>
      <c r="BK32" s="842"/>
      <c r="BL32" s="842"/>
      <c r="BM32" s="842"/>
      <c r="BN32" s="842"/>
      <c r="BO32" s="842"/>
      <c r="BP32" s="842"/>
      <c r="BQ32" s="842"/>
      <c r="BR32" s="842"/>
      <c r="BS32" s="842"/>
      <c r="BT32" s="842"/>
      <c r="BU32" s="842"/>
      <c r="BV32" s="842"/>
      <c r="BW32" s="842"/>
      <c r="BX32" s="842"/>
      <c r="BY32" s="842"/>
      <c r="BZ32" s="842"/>
      <c r="CA32" s="842"/>
      <c r="CB32" s="842"/>
      <c r="CC32" s="842"/>
      <c r="CD32" s="842"/>
      <c r="CE32" s="842"/>
      <c r="CF32" s="842"/>
      <c r="CG32" s="842"/>
      <c r="CH32" s="842"/>
      <c r="CI32" s="842"/>
      <c r="CJ32" s="842"/>
      <c r="CK32" s="842"/>
      <c r="CL32" s="842"/>
      <c r="CM32" s="842"/>
      <c r="CN32" s="842"/>
      <c r="CO32" s="842"/>
      <c r="CP32" s="842"/>
      <c r="CQ32" s="842"/>
      <c r="CR32" s="842"/>
      <c r="CS32" s="842"/>
      <c r="CT32" s="842"/>
      <c r="CU32" s="842"/>
      <c r="CV32" s="842"/>
      <c r="CW32" s="842"/>
      <c r="CX32" s="842"/>
    </row>
    <row r="33" spans="1:62">
      <c r="A33" s="435" t="s">
        <v>536</v>
      </c>
      <c r="B33" s="519">
        <f>223593466+15225000+20231541+757798+695673</f>
        <v>260503478</v>
      </c>
      <c r="C33" s="519">
        <v>0</v>
      </c>
      <c r="D33" s="519">
        <v>0</v>
      </c>
      <c r="E33" s="518"/>
      <c r="F33" s="526">
        <f t="shared" ref="F33:F50" si="3">+B33+C33-D33</f>
        <v>260503478</v>
      </c>
      <c r="G33" s="519">
        <v>194530646</v>
      </c>
      <c r="H33" s="519">
        <f>4796399+3197599+53444+1363898+19132+1363898+1363898</f>
        <v>12158268</v>
      </c>
      <c r="I33" s="519">
        <v>0</v>
      </c>
      <c r="J33" s="518"/>
      <c r="K33" s="519">
        <f t="shared" ref="K33:K43" si="4">G33+H33-I33</f>
        <v>206688914</v>
      </c>
      <c r="L33" s="526">
        <f t="shared" ref="L33:L46" si="5">+F33-K33</f>
        <v>53814564</v>
      </c>
      <c r="M33" s="519">
        <v>64519361</v>
      </c>
      <c r="N33" s="599"/>
      <c r="O33" s="423"/>
      <c r="P33" s="423"/>
      <c r="Q33" s="423"/>
      <c r="R33" s="423"/>
      <c r="S33" s="423"/>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4"/>
      <c r="AZ33" s="834"/>
      <c r="BA33" s="834"/>
      <c r="BB33" s="834"/>
      <c r="BC33" s="834"/>
      <c r="BD33" s="834"/>
      <c r="BE33" s="834"/>
      <c r="BF33" s="834"/>
      <c r="BG33" s="834"/>
      <c r="BH33" s="834"/>
      <c r="BI33" s="834"/>
      <c r="BJ33" s="834"/>
    </row>
    <row r="34" spans="1:62">
      <c r="A34" s="435" t="s">
        <v>537</v>
      </c>
      <c r="B34" s="519">
        <f>2191644727+167018593+90251423+89970847+72357801</f>
        <v>2611243391</v>
      </c>
      <c r="C34" s="519">
        <v>0</v>
      </c>
      <c r="D34" s="519">
        <v>1622727</v>
      </c>
      <c r="E34" s="518"/>
      <c r="F34" s="526">
        <f t="shared" si="3"/>
        <v>2609620664</v>
      </c>
      <c r="G34" s="519">
        <v>2068452214</v>
      </c>
      <c r="H34" s="519">
        <f>42470400+30440648+12204891+13936299+14100280+14100280</f>
        <v>127252798</v>
      </c>
      <c r="I34" s="519">
        <v>262670</v>
      </c>
      <c r="J34" s="518"/>
      <c r="K34" s="519">
        <f t="shared" si="4"/>
        <v>2195442342</v>
      </c>
      <c r="L34" s="526">
        <f>+F34-K34</f>
        <v>414178322</v>
      </c>
      <c r="M34" s="519">
        <v>542791177</v>
      </c>
      <c r="N34" s="599"/>
      <c r="O34" s="423"/>
      <c r="P34" s="423"/>
      <c r="Q34" s="423"/>
      <c r="R34" s="423"/>
      <c r="S34" s="423"/>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c r="BI34" s="834"/>
      <c r="BJ34" s="834"/>
    </row>
    <row r="35" spans="1:62">
      <c r="A35" s="435" t="s">
        <v>538</v>
      </c>
      <c r="B35" s="519">
        <f>22077404+72375965+1070976093</f>
        <v>1165429462</v>
      </c>
      <c r="C35" s="519">
        <f>7419832+6000000+4282182</f>
        <v>17702014</v>
      </c>
      <c r="D35" s="519">
        <v>0</v>
      </c>
      <c r="E35" s="518"/>
      <c r="F35" s="526">
        <f t="shared" si="3"/>
        <v>1183131476</v>
      </c>
      <c r="G35" s="519">
        <v>1010549977</v>
      </c>
      <c r="H35" s="519">
        <f>16254692+11522104+3032001+5130601+291910+4786527+5104519</f>
        <v>46122354</v>
      </c>
      <c r="I35" s="519">
        <v>0</v>
      </c>
      <c r="J35" s="518"/>
      <c r="K35" s="519">
        <f t="shared" si="4"/>
        <v>1056672331</v>
      </c>
      <c r="L35" s="526">
        <f t="shared" si="5"/>
        <v>126459145</v>
      </c>
      <c r="M35" s="519">
        <v>154879485</v>
      </c>
      <c r="N35" s="599"/>
      <c r="O35" s="423"/>
      <c r="P35" s="423"/>
      <c r="Q35" s="423"/>
      <c r="R35" s="423"/>
      <c r="S35" s="423"/>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4"/>
      <c r="BF35" s="834"/>
      <c r="BG35" s="834"/>
      <c r="BH35" s="834"/>
      <c r="BI35" s="834"/>
      <c r="BJ35" s="834"/>
    </row>
    <row r="36" spans="1:62">
      <c r="A36" s="435" t="s">
        <v>527</v>
      </c>
      <c r="B36" s="519">
        <f>461406079+75267674+171910540+2356112</f>
        <v>710940405</v>
      </c>
      <c r="C36" s="519">
        <v>0</v>
      </c>
      <c r="D36" s="519">
        <v>0</v>
      </c>
      <c r="E36" s="518"/>
      <c r="F36" s="526">
        <f t="shared" si="3"/>
        <v>710940405</v>
      </c>
      <c r="G36" s="519">
        <v>426499689</v>
      </c>
      <c r="H36" s="519">
        <f>20589828+13726552+6863276+6863276+6863276+6863276</f>
        <v>61769484</v>
      </c>
      <c r="I36" s="519">
        <v>0</v>
      </c>
      <c r="J36" s="518"/>
      <c r="K36" s="519">
        <f t="shared" si="4"/>
        <v>488269173</v>
      </c>
      <c r="L36" s="526">
        <f t="shared" si="5"/>
        <v>222671232</v>
      </c>
      <c r="M36" s="519">
        <v>284440716</v>
      </c>
      <c r="N36" s="599"/>
      <c r="O36" s="423"/>
      <c r="P36" s="423"/>
      <c r="Q36" s="423"/>
      <c r="R36" s="423"/>
      <c r="S36" s="423"/>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4"/>
      <c r="BJ36" s="834"/>
    </row>
    <row r="37" spans="1:62">
      <c r="A37" s="435" t="s">
        <v>539</v>
      </c>
      <c r="B37" s="519">
        <v>111220225</v>
      </c>
      <c r="C37" s="519">
        <v>7272727</v>
      </c>
      <c r="D37" s="519">
        <v>0</v>
      </c>
      <c r="E37" s="518"/>
      <c r="F37" s="526">
        <f t="shared" si="3"/>
        <v>118492952</v>
      </c>
      <c r="G37" s="519">
        <v>90512348</v>
      </c>
      <c r="H37" s="519">
        <f>1296196+864131+432065+432065+551074+551074</f>
        <v>4126605</v>
      </c>
      <c r="I37" s="519">
        <v>0</v>
      </c>
      <c r="J37" s="518"/>
      <c r="K37" s="519">
        <f t="shared" si="4"/>
        <v>94638953</v>
      </c>
      <c r="L37" s="526">
        <f t="shared" si="5"/>
        <v>23853999</v>
      </c>
      <c r="M37" s="519">
        <v>20707877</v>
      </c>
      <c r="N37" s="599"/>
      <c r="O37" s="423"/>
      <c r="P37" s="423"/>
      <c r="Q37" s="423"/>
      <c r="R37" s="423"/>
      <c r="S37" s="423"/>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4"/>
      <c r="BA37" s="834"/>
      <c r="BB37" s="834"/>
      <c r="BC37" s="834"/>
      <c r="BD37" s="834"/>
      <c r="BE37" s="834"/>
      <c r="BF37" s="834"/>
      <c r="BG37" s="834"/>
      <c r="BH37" s="834"/>
      <c r="BI37" s="834"/>
      <c r="BJ37" s="834"/>
    </row>
    <row r="38" spans="1:62">
      <c r="A38" s="879" t="s">
        <v>532</v>
      </c>
      <c r="B38" s="880">
        <f>SUM(B30:B37)</f>
        <v>35481218111</v>
      </c>
      <c r="C38" s="880">
        <f>SUM(C30:C37)</f>
        <v>3668533905</v>
      </c>
      <c r="D38" s="880">
        <f>SUM(D30:D37)</f>
        <v>934464056</v>
      </c>
      <c r="E38" s="881"/>
      <c r="F38" s="880">
        <f>SUM(F30:F37)</f>
        <v>38215287960</v>
      </c>
      <c r="G38" s="880">
        <f>SUM(G30:G37)</f>
        <v>18083736660</v>
      </c>
      <c r="H38" s="880">
        <f>SUM(H30:H37)</f>
        <v>1444566285</v>
      </c>
      <c r="I38" s="880">
        <f>SUM(I30:I37)</f>
        <v>262670</v>
      </c>
      <c r="J38" s="882"/>
      <c r="K38" s="880">
        <f>SUM(K30:K37)</f>
        <v>19528040275</v>
      </c>
      <c r="L38" s="880">
        <f>SUM($L$30:L37)</f>
        <v>18687247685</v>
      </c>
      <c r="M38" s="880">
        <f>SUM($M$30:M37)</f>
        <v>17396027980</v>
      </c>
      <c r="N38" s="599"/>
      <c r="O38" s="423"/>
      <c r="P38" s="423"/>
      <c r="Q38" s="423"/>
      <c r="R38" s="423"/>
      <c r="S38" s="423"/>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c r="BI38" s="834"/>
      <c r="BJ38" s="834"/>
    </row>
    <row r="39" spans="1:62">
      <c r="A39" s="433"/>
      <c r="B39" s="520"/>
      <c r="C39" s="520"/>
      <c r="D39" s="520"/>
      <c r="E39" s="518"/>
      <c r="F39" s="520"/>
      <c r="G39" s="520"/>
      <c r="H39" s="520"/>
      <c r="I39" s="520"/>
      <c r="J39" s="536"/>
      <c r="K39" s="520"/>
      <c r="L39" s="520"/>
      <c r="M39" s="520"/>
      <c r="N39" s="599"/>
      <c r="O39" s="423"/>
      <c r="P39" s="423"/>
      <c r="Q39" s="423"/>
      <c r="R39" s="423"/>
      <c r="S39" s="423"/>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4"/>
      <c r="AZ39" s="834"/>
      <c r="BA39" s="834"/>
      <c r="BB39" s="834"/>
      <c r="BC39" s="834"/>
      <c r="BD39" s="834"/>
      <c r="BE39" s="834"/>
      <c r="BF39" s="834"/>
      <c r="BG39" s="834"/>
      <c r="BH39" s="834"/>
      <c r="BI39" s="834"/>
      <c r="BJ39" s="834"/>
    </row>
    <row r="40" spans="1:62">
      <c r="A40" s="434" t="s">
        <v>540</v>
      </c>
      <c r="B40" s="520"/>
      <c r="C40" s="520"/>
      <c r="D40" s="520"/>
      <c r="E40" s="518"/>
      <c r="F40" s="520"/>
      <c r="G40" s="520"/>
      <c r="H40" s="520"/>
      <c r="I40" s="520"/>
      <c r="J40" s="536"/>
      <c r="K40" s="520"/>
      <c r="L40" s="520"/>
      <c r="M40" s="520"/>
      <c r="N40" s="599"/>
      <c r="O40" s="423"/>
      <c r="P40" s="423"/>
      <c r="Q40" s="423"/>
      <c r="R40" s="423"/>
      <c r="S40" s="423"/>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4"/>
      <c r="BA40" s="834"/>
      <c r="BB40" s="834"/>
      <c r="BC40" s="834"/>
      <c r="BD40" s="834"/>
      <c r="BE40" s="834"/>
      <c r="BF40" s="834"/>
      <c r="BG40" s="834"/>
      <c r="BH40" s="834"/>
      <c r="BI40" s="834"/>
      <c r="BJ40" s="834"/>
    </row>
    <row r="41" spans="1:62">
      <c r="A41" s="434"/>
      <c r="B41" s="520"/>
      <c r="C41" s="520"/>
      <c r="D41" s="520"/>
      <c r="E41" s="518"/>
      <c r="F41" s="520"/>
      <c r="G41" s="520"/>
      <c r="H41" s="520"/>
      <c r="I41" s="520"/>
      <c r="J41" s="536"/>
      <c r="K41" s="520"/>
      <c r="L41" s="520"/>
      <c r="M41" s="520"/>
      <c r="N41" s="599"/>
      <c r="O41" s="423"/>
      <c r="P41" s="423"/>
      <c r="Q41" s="423"/>
      <c r="R41" s="423"/>
      <c r="S41" s="423"/>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4"/>
      <c r="BJ41" s="834"/>
    </row>
    <row r="42" spans="1:62">
      <c r="A42" s="434" t="s">
        <v>541</v>
      </c>
      <c r="B42" s="520"/>
      <c r="C42" s="520"/>
      <c r="D42" s="520"/>
      <c r="E42" s="518"/>
      <c r="F42" s="520"/>
      <c r="G42" s="520"/>
      <c r="H42" s="520"/>
      <c r="I42" s="520"/>
      <c r="J42" s="536"/>
      <c r="K42" s="520"/>
      <c r="L42" s="520"/>
      <c r="M42" s="520"/>
      <c r="N42" s="599"/>
      <c r="O42" s="423"/>
      <c r="P42" s="423"/>
      <c r="Q42" s="423"/>
      <c r="R42" s="423"/>
      <c r="S42" s="423"/>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4"/>
      <c r="BJ42" s="834"/>
    </row>
    <row r="43" spans="1:62">
      <c r="A43" s="436" t="s">
        <v>542</v>
      </c>
      <c r="B43" s="519">
        <v>26146885643</v>
      </c>
      <c r="C43" s="519">
        <f>5276911+7195398+1529503800+3839999040+1645715177+150981818+10689091+26142000+4951200+1403680</f>
        <v>7221858115</v>
      </c>
      <c r="D43" s="519">
        <v>0</v>
      </c>
      <c r="E43" s="518"/>
      <c r="F43" s="521">
        <f>+B43+C43-D43</f>
        <v>33368743758</v>
      </c>
      <c r="G43" s="519">
        <v>0</v>
      </c>
      <c r="H43" s="519">
        <v>0</v>
      </c>
      <c r="I43" s="519">
        <v>0</v>
      </c>
      <c r="J43" s="518"/>
      <c r="K43" s="519">
        <f t="shared" si="4"/>
        <v>0</v>
      </c>
      <c r="L43" s="521">
        <f>+F43-K43</f>
        <v>33368743758</v>
      </c>
      <c r="M43" s="519">
        <v>26146885643</v>
      </c>
      <c r="N43" s="599">
        <f>33368743758-L43</f>
        <v>0</v>
      </c>
      <c r="O43" s="423"/>
      <c r="P43" s="423"/>
      <c r="Q43" s="423"/>
      <c r="R43" s="423"/>
      <c r="S43" s="423"/>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4"/>
      <c r="BC43" s="834"/>
      <c r="BD43" s="834"/>
      <c r="BE43" s="834"/>
      <c r="BF43" s="834"/>
      <c r="BG43" s="834"/>
      <c r="BH43" s="834"/>
      <c r="BI43" s="834"/>
      <c r="BJ43" s="834"/>
    </row>
    <row r="44" spans="1:62">
      <c r="A44" s="436"/>
      <c r="B44" s="885">
        <f>SUM(B43)</f>
        <v>26146885643</v>
      </c>
      <c r="C44" s="885">
        <f>SUM(C43)</f>
        <v>7221858115</v>
      </c>
      <c r="D44" s="885">
        <f>SUM(D43)</f>
        <v>0</v>
      </c>
      <c r="E44" s="886"/>
      <c r="F44" s="887">
        <f>SUM(F43)</f>
        <v>33368743758</v>
      </c>
      <c r="G44" s="885">
        <f>SUM(G43)</f>
        <v>0</v>
      </c>
      <c r="H44" s="885">
        <f>SUM(H43)</f>
        <v>0</v>
      </c>
      <c r="I44" s="885">
        <f>SUM(I43)</f>
        <v>0</v>
      </c>
      <c r="J44" s="886"/>
      <c r="K44" s="885">
        <f>SUM(K43)</f>
        <v>0</v>
      </c>
      <c r="L44" s="887">
        <f>SUM(L43)</f>
        <v>33368743758</v>
      </c>
      <c r="M44" s="887">
        <v>26146885643</v>
      </c>
      <c r="N44" s="599"/>
      <c r="O44" s="423"/>
      <c r="P44" s="423"/>
      <c r="Q44" s="423"/>
      <c r="R44" s="423"/>
      <c r="S44" s="423"/>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4"/>
      <c r="AY44" s="834"/>
      <c r="AZ44" s="834"/>
      <c r="BA44" s="834"/>
      <c r="BB44" s="834"/>
      <c r="BC44" s="834"/>
      <c r="BD44" s="834"/>
      <c r="BE44" s="834"/>
      <c r="BF44" s="834"/>
      <c r="BG44" s="834"/>
      <c r="BH44" s="834"/>
      <c r="BI44" s="834"/>
      <c r="BJ44" s="834"/>
    </row>
    <row r="45" spans="1:62">
      <c r="A45" s="437" t="s">
        <v>533</v>
      </c>
      <c r="B45" s="519"/>
      <c r="C45" s="519"/>
      <c r="D45" s="519"/>
      <c r="E45" s="518"/>
      <c r="F45" s="521"/>
      <c r="G45" s="519"/>
      <c r="H45" s="519"/>
      <c r="I45" s="519"/>
      <c r="J45" s="518"/>
      <c r="K45" s="519"/>
      <c r="L45" s="521"/>
      <c r="M45" s="519"/>
      <c r="N45" s="599"/>
      <c r="O45" s="423"/>
      <c r="P45" s="423"/>
      <c r="Q45" s="423"/>
      <c r="R45" s="423"/>
      <c r="S45" s="423"/>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4"/>
      <c r="BA45" s="834"/>
      <c r="BB45" s="834"/>
      <c r="BC45" s="834"/>
      <c r="BD45" s="834"/>
      <c r="BE45" s="834"/>
      <c r="BF45" s="834"/>
      <c r="BG45" s="834"/>
      <c r="BH45" s="834"/>
      <c r="BI45" s="834"/>
      <c r="BJ45" s="834"/>
    </row>
    <row r="46" spans="1:62">
      <c r="A46" s="436" t="s">
        <v>543</v>
      </c>
      <c r="B46" s="519">
        <v>155232969990</v>
      </c>
      <c r="C46" s="519">
        <v>0</v>
      </c>
      <c r="D46" s="519">
        <v>0</v>
      </c>
      <c r="E46" s="518"/>
      <c r="F46" s="521">
        <f t="shared" si="3"/>
        <v>155232969990</v>
      </c>
      <c r="G46" s="519">
        <v>0</v>
      </c>
      <c r="H46" s="519">
        <v>0</v>
      </c>
      <c r="I46" s="519">
        <v>0</v>
      </c>
      <c r="J46" s="518"/>
      <c r="K46" s="519">
        <v>0</v>
      </c>
      <c r="L46" s="521">
        <f t="shared" si="5"/>
        <v>155232969990</v>
      </c>
      <c r="M46" s="519">
        <v>155232969990</v>
      </c>
      <c r="N46" s="599"/>
      <c r="O46" s="423"/>
      <c r="P46" s="423"/>
      <c r="Q46" s="423"/>
      <c r="R46" s="423"/>
      <c r="S46" s="423"/>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834"/>
      <c r="AT46" s="834"/>
      <c r="AU46" s="834"/>
      <c r="AV46" s="834"/>
      <c r="AW46" s="834"/>
      <c r="AX46" s="834"/>
      <c r="AY46" s="834"/>
      <c r="AZ46" s="834"/>
      <c r="BA46" s="834"/>
      <c r="BB46" s="834"/>
      <c r="BC46" s="834"/>
      <c r="BD46" s="834"/>
      <c r="BE46" s="834"/>
      <c r="BF46" s="834"/>
      <c r="BG46" s="834"/>
      <c r="BH46" s="834"/>
      <c r="BI46" s="834"/>
      <c r="BJ46" s="834"/>
    </row>
    <row r="47" spans="1:62">
      <c r="A47" s="436"/>
      <c r="B47" s="885">
        <f t="shared" ref="B47:K47" si="6">SUM(B46)</f>
        <v>155232969990</v>
      </c>
      <c r="C47" s="885">
        <f t="shared" si="6"/>
        <v>0</v>
      </c>
      <c r="D47" s="885">
        <f t="shared" si="6"/>
        <v>0</v>
      </c>
      <c r="E47" s="886">
        <f t="shared" si="6"/>
        <v>0</v>
      </c>
      <c r="F47" s="887">
        <f t="shared" si="6"/>
        <v>155232969990</v>
      </c>
      <c r="G47" s="885">
        <f t="shared" si="6"/>
        <v>0</v>
      </c>
      <c r="H47" s="885">
        <f t="shared" si="6"/>
        <v>0</v>
      </c>
      <c r="I47" s="885">
        <f t="shared" si="6"/>
        <v>0</v>
      </c>
      <c r="J47" s="886">
        <f t="shared" si="6"/>
        <v>0</v>
      </c>
      <c r="K47" s="885">
        <f t="shared" si="6"/>
        <v>0</v>
      </c>
      <c r="L47" s="887">
        <f>SUM(L46)</f>
        <v>155232969990</v>
      </c>
      <c r="M47" s="887">
        <v>155232969990</v>
      </c>
      <c r="N47" s="599"/>
      <c r="O47" s="423"/>
      <c r="P47" s="423"/>
      <c r="Q47" s="423"/>
      <c r="R47" s="423"/>
      <c r="S47" s="423"/>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834"/>
      <c r="AZ47" s="834"/>
      <c r="BA47" s="834"/>
      <c r="BB47" s="834"/>
      <c r="BC47" s="834"/>
      <c r="BD47" s="834"/>
      <c r="BE47" s="834"/>
      <c r="BF47" s="834"/>
      <c r="BG47" s="834"/>
      <c r="BH47" s="834"/>
      <c r="BI47" s="834"/>
      <c r="BJ47" s="834"/>
    </row>
    <row r="48" spans="1:62">
      <c r="A48" s="436"/>
      <c r="B48" s="519"/>
      <c r="C48" s="519"/>
      <c r="D48" s="519"/>
      <c r="E48" s="518"/>
      <c r="F48" s="521"/>
      <c r="G48" s="519"/>
      <c r="H48" s="519"/>
      <c r="I48" s="519"/>
      <c r="J48" s="518"/>
      <c r="K48" s="519"/>
      <c r="L48" s="521"/>
      <c r="M48" s="519"/>
      <c r="N48" s="599"/>
      <c r="O48" s="423"/>
      <c r="P48" s="423"/>
      <c r="Q48" s="423"/>
      <c r="R48" s="423"/>
      <c r="S48" s="423"/>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834"/>
      <c r="AT48" s="834"/>
      <c r="AU48" s="834"/>
      <c r="AV48" s="834"/>
      <c r="AW48" s="834"/>
      <c r="AX48" s="834"/>
      <c r="AY48" s="834"/>
      <c r="AZ48" s="834"/>
      <c r="BA48" s="834"/>
      <c r="BB48" s="834"/>
      <c r="BC48" s="834"/>
      <c r="BD48" s="834"/>
      <c r="BE48" s="834"/>
      <c r="BF48" s="834"/>
      <c r="BG48" s="834"/>
      <c r="BH48" s="834"/>
      <c r="BI48" s="834"/>
      <c r="BJ48" s="834"/>
    </row>
    <row r="49" spans="1:62">
      <c r="A49" s="436" t="s">
        <v>544</v>
      </c>
      <c r="B49" s="519">
        <f>29604574573+51673810+998836935</f>
        <v>30655085318</v>
      </c>
      <c r="C49" s="519">
        <f>69119987+168960000+72960026+1000000+3386465945+1093660+67831818+8865000+1920000+36480000+30780000+1620000</f>
        <v>3847096436</v>
      </c>
      <c r="D49" s="519">
        <f>3698148584+101947500+25200000+21047619+44325000+44100000+307358260+69900000+1500000+13297500+67831818+8865000+44325000+14700000+79665000</f>
        <v>4542211281</v>
      </c>
      <c r="E49" s="518"/>
      <c r="F49" s="521">
        <f>+B49+C49-D49</f>
        <v>29959970473</v>
      </c>
      <c r="G49" s="519">
        <v>1023796315</v>
      </c>
      <c r="H49" s="519">
        <v>0</v>
      </c>
      <c r="I49" s="519">
        <f>12600000+22050000+9187500</f>
        <v>43837500</v>
      </c>
      <c r="J49" s="518"/>
      <c r="K49" s="519">
        <f>G49+H49-I49</f>
        <v>979958815</v>
      </c>
      <c r="L49" s="521">
        <f>+F49-K49</f>
        <v>28980011658</v>
      </c>
      <c r="M49" s="519">
        <v>29631289003</v>
      </c>
      <c r="N49" s="599"/>
      <c r="O49" s="423"/>
      <c r="P49" s="423"/>
      <c r="Q49" s="423"/>
      <c r="R49" s="423"/>
      <c r="S49" s="423"/>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4"/>
      <c r="AY49" s="834"/>
      <c r="AZ49" s="834"/>
      <c r="BA49" s="834"/>
      <c r="BB49" s="834"/>
      <c r="BC49" s="834"/>
      <c r="BD49" s="834"/>
      <c r="BE49" s="834"/>
      <c r="BF49" s="834"/>
      <c r="BG49" s="834"/>
      <c r="BH49" s="834"/>
      <c r="BI49" s="834"/>
      <c r="BJ49" s="834"/>
    </row>
    <row r="50" spans="1:62">
      <c r="A50" s="436" t="s">
        <v>545</v>
      </c>
      <c r="B50" s="519">
        <v>17796361723</v>
      </c>
      <c r="C50" s="519">
        <f>6782100+34634340+74200000+4712950</f>
        <v>120329390</v>
      </c>
      <c r="D50" s="519">
        <v>74200000</v>
      </c>
      <c r="E50" s="518"/>
      <c r="F50" s="521">
        <f t="shared" si="3"/>
        <v>17842491113</v>
      </c>
      <c r="G50" s="519">
        <v>11257765086</v>
      </c>
      <c r="H50" s="519">
        <f>306704943+162371313+81185656+81460532+81460532+81460532</f>
        <v>794643508</v>
      </c>
      <c r="I50" s="519">
        <v>0</v>
      </c>
      <c r="J50" s="518"/>
      <c r="K50" s="519">
        <f>G50+H50-I50</f>
        <v>12052408594</v>
      </c>
      <c r="L50" s="519">
        <f>+F50-K50</f>
        <v>5790082519</v>
      </c>
      <c r="M50" s="722">
        <v>6538596637</v>
      </c>
      <c r="N50" s="599"/>
      <c r="O50" s="423"/>
      <c r="P50" s="423"/>
      <c r="Q50" s="423"/>
      <c r="R50" s="423"/>
      <c r="S50" s="423"/>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4"/>
      <c r="AY50" s="834"/>
      <c r="AZ50" s="834"/>
      <c r="BA50" s="834"/>
      <c r="BB50" s="834"/>
      <c r="BC50" s="834"/>
      <c r="BD50" s="834"/>
      <c r="BE50" s="834"/>
      <c r="BF50" s="834"/>
      <c r="BG50" s="834"/>
      <c r="BH50" s="834"/>
      <c r="BI50" s="834"/>
      <c r="BJ50" s="834"/>
    </row>
    <row r="51" spans="1:62">
      <c r="A51" s="436"/>
      <c r="B51" s="885">
        <f>SUM(B49:B50)</f>
        <v>48451447041</v>
      </c>
      <c r="C51" s="885">
        <f>SUM(C49:C50)</f>
        <v>3967425826</v>
      </c>
      <c r="D51" s="885">
        <f>SUM(D49:D50)</f>
        <v>4616411281</v>
      </c>
      <c r="E51" s="886"/>
      <c r="F51" s="887">
        <f>SUM(F49:F50)</f>
        <v>47802461586</v>
      </c>
      <c r="G51" s="885">
        <f>SUM(G49:G50)</f>
        <v>12281561401</v>
      </c>
      <c r="H51" s="885">
        <f>SUM(H49:H50)</f>
        <v>794643508</v>
      </c>
      <c r="I51" s="885">
        <f>SUM(I49:I50)</f>
        <v>43837500</v>
      </c>
      <c r="J51" s="886"/>
      <c r="K51" s="885">
        <f>SUM(K49:K50)</f>
        <v>13032367409</v>
      </c>
      <c r="L51" s="887">
        <f>SUM(L49:L50)</f>
        <v>34770094177</v>
      </c>
      <c r="M51" s="887">
        <f>SUM(M49:M50)</f>
        <v>36169885640</v>
      </c>
      <c r="N51" s="599"/>
      <c r="O51" s="423"/>
      <c r="P51" s="423"/>
      <c r="Q51" s="423"/>
      <c r="R51" s="423"/>
      <c r="S51" s="423"/>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4"/>
      <c r="AY51" s="834"/>
      <c r="AZ51" s="834"/>
      <c r="BA51" s="834"/>
      <c r="BB51" s="834"/>
      <c r="BC51" s="834"/>
      <c r="BD51" s="834"/>
      <c r="BE51" s="834"/>
      <c r="BF51" s="834"/>
      <c r="BG51" s="834"/>
      <c r="BH51" s="834"/>
      <c r="BI51" s="834"/>
      <c r="BJ51" s="834"/>
    </row>
    <row r="52" spans="1:62">
      <c r="A52" s="879" t="s">
        <v>532</v>
      </c>
      <c r="B52" s="880">
        <f>+B44+B47+B51</f>
        <v>229831302674</v>
      </c>
      <c r="C52" s="880">
        <f>+C44+C47+C51</f>
        <v>11189283941</v>
      </c>
      <c r="D52" s="880">
        <f>+D44+D47+D51</f>
        <v>4616411281</v>
      </c>
      <c r="E52" s="881"/>
      <c r="F52" s="880">
        <f>+F44+F47+F51</f>
        <v>236404175334</v>
      </c>
      <c r="G52" s="880">
        <f>+G44+G47+G51</f>
        <v>12281561401</v>
      </c>
      <c r="H52" s="880">
        <f>+H44+H47+H51</f>
        <v>794643508</v>
      </c>
      <c r="I52" s="880">
        <f>I44+I47+I51</f>
        <v>43837500</v>
      </c>
      <c r="J52" s="882"/>
      <c r="K52" s="880">
        <f>K44+K47+K51</f>
        <v>13032367409</v>
      </c>
      <c r="L52" s="880">
        <f>+L44+L47+L51</f>
        <v>223371807925</v>
      </c>
      <c r="M52" s="880">
        <f>+M44+M47+M51</f>
        <v>217549741273</v>
      </c>
      <c r="N52" s="599"/>
      <c r="O52" s="423"/>
      <c r="P52" s="423"/>
      <c r="Q52" s="423"/>
      <c r="R52" s="423"/>
      <c r="S52" s="423"/>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4"/>
      <c r="AY52" s="834"/>
      <c r="AZ52" s="834"/>
      <c r="BA52" s="834"/>
      <c r="BB52" s="834"/>
      <c r="BC52" s="834"/>
      <c r="BD52" s="834"/>
      <c r="BE52" s="834"/>
      <c r="BF52" s="834"/>
      <c r="BG52" s="834"/>
      <c r="BH52" s="834"/>
      <c r="BI52" s="834"/>
      <c r="BJ52" s="834"/>
    </row>
    <row r="53" spans="1:62">
      <c r="A53" s="888" t="s">
        <v>546</v>
      </c>
      <c r="B53" s="889">
        <f>+B27+B38+B52</f>
        <v>439380011613</v>
      </c>
      <c r="C53" s="889">
        <f>+C27+C38+C52</f>
        <v>27137103316</v>
      </c>
      <c r="D53" s="889">
        <f>+D27+D38+D52</f>
        <v>5790822631</v>
      </c>
      <c r="E53" s="890"/>
      <c r="F53" s="880">
        <f>+F27+F38+F52</f>
        <v>460726292298</v>
      </c>
      <c r="G53" s="880">
        <f>+G27+G38+G52</f>
        <v>97234996434</v>
      </c>
      <c r="H53" s="889">
        <f>+H27+H38+H52</f>
        <v>8403679260</v>
      </c>
      <c r="I53" s="880">
        <f>+I27+I38+I52</f>
        <v>54607939</v>
      </c>
      <c r="J53" s="891"/>
      <c r="K53" s="880">
        <f>+K27+K38+K52</f>
        <v>105584067755</v>
      </c>
      <c r="L53" s="889">
        <f>+L27+L38+L52</f>
        <v>355142224543</v>
      </c>
      <c r="M53" s="889">
        <f>+M27+M38+M52</f>
        <v>342143561708</v>
      </c>
      <c r="N53" s="599"/>
      <c r="O53" s="423"/>
      <c r="P53" s="423"/>
      <c r="Q53" s="423"/>
      <c r="R53" s="423"/>
      <c r="S53" s="423"/>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4"/>
      <c r="AY53" s="834"/>
      <c r="AZ53" s="834"/>
      <c r="BA53" s="834"/>
      <c r="BB53" s="834"/>
      <c r="BC53" s="834"/>
      <c r="BD53" s="834"/>
      <c r="BE53" s="834"/>
      <c r="BF53" s="834"/>
      <c r="BG53" s="834"/>
      <c r="BH53" s="834"/>
      <c r="BI53" s="834"/>
      <c r="BJ53" s="834"/>
    </row>
    <row r="55" spans="1:62">
      <c r="A55" s="834"/>
      <c r="B55" s="834"/>
      <c r="C55" s="834"/>
      <c r="D55" s="892"/>
      <c r="E55" s="834"/>
      <c r="F55" s="875"/>
      <c r="G55" s="834"/>
      <c r="H55" s="834"/>
      <c r="I55" s="875"/>
      <c r="J55" s="834"/>
      <c r="K55" s="834"/>
      <c r="L55" s="875"/>
      <c r="M55" s="893"/>
      <c r="N55" s="875"/>
      <c r="O55" s="834"/>
      <c r="P55" s="834"/>
      <c r="Q55" s="834"/>
      <c r="R55" s="834"/>
      <c r="S55" s="834"/>
      <c r="T55" s="834"/>
      <c r="U55" s="834"/>
      <c r="V55" s="834"/>
      <c r="W55" s="834"/>
      <c r="X55" s="834"/>
      <c r="Y55" s="834"/>
      <c r="Z55" s="834"/>
      <c r="AA55" s="834"/>
      <c r="AB55" s="834"/>
      <c r="AC55" s="834"/>
      <c r="AD55" s="834"/>
      <c r="AE55" s="842"/>
      <c r="AF55" s="842"/>
      <c r="AG55" s="842"/>
      <c r="AH55" s="842"/>
      <c r="AI55" s="842"/>
      <c r="AJ55" s="842"/>
      <c r="AK55" s="842"/>
      <c r="AL55" s="842"/>
      <c r="AM55" s="842"/>
      <c r="AN55" s="842"/>
      <c r="AO55" s="842"/>
      <c r="AP55" s="842"/>
      <c r="AQ55" s="842"/>
      <c r="AR55" s="842"/>
      <c r="AS55" s="842"/>
      <c r="AT55" s="842"/>
      <c r="AU55" s="842"/>
      <c r="AV55" s="842"/>
      <c r="AW55" s="842"/>
      <c r="AX55" s="842"/>
      <c r="AY55" s="842"/>
      <c r="AZ55" s="842"/>
      <c r="BA55" s="842"/>
      <c r="BB55" s="842"/>
      <c r="BC55" s="842"/>
      <c r="BD55" s="842"/>
      <c r="BE55" s="842"/>
      <c r="BF55" s="842"/>
      <c r="BG55" s="842"/>
      <c r="BH55" s="842"/>
      <c r="BI55" s="842"/>
      <c r="BJ55" s="842"/>
    </row>
    <row r="56" spans="1:62">
      <c r="A56" s="834"/>
      <c r="B56" s="834"/>
      <c r="C56" s="834"/>
      <c r="D56" s="875"/>
      <c r="E56" s="834"/>
      <c r="F56" s="875"/>
      <c r="G56" s="834"/>
      <c r="H56" s="834"/>
      <c r="I56" s="875"/>
      <c r="J56" s="834"/>
      <c r="K56" s="834"/>
      <c r="L56" s="893"/>
      <c r="M56" s="893"/>
      <c r="N56" s="875"/>
      <c r="O56" s="834"/>
      <c r="P56" s="834"/>
      <c r="Q56" s="834"/>
      <c r="R56" s="834"/>
      <c r="S56" s="834"/>
      <c r="T56" s="834"/>
      <c r="U56" s="834"/>
      <c r="V56" s="834"/>
      <c r="W56" s="834"/>
      <c r="X56" s="834"/>
      <c r="Y56" s="834"/>
      <c r="Z56" s="834"/>
      <c r="AA56" s="834"/>
      <c r="AB56" s="834"/>
      <c r="AC56" s="834"/>
      <c r="AD56" s="834"/>
      <c r="AE56" s="842"/>
      <c r="AF56" s="842"/>
      <c r="AG56" s="842"/>
      <c r="AH56" s="842"/>
      <c r="AI56" s="842"/>
      <c r="AJ56" s="842"/>
      <c r="AK56" s="842"/>
      <c r="AL56" s="842"/>
      <c r="AM56" s="842"/>
      <c r="AN56" s="842"/>
      <c r="AO56" s="842"/>
      <c r="AP56" s="842"/>
      <c r="AQ56" s="842"/>
      <c r="AR56" s="842"/>
      <c r="AS56" s="842"/>
      <c r="AT56" s="842"/>
      <c r="AU56" s="842"/>
      <c r="AV56" s="842"/>
      <c r="AW56" s="842"/>
      <c r="AX56" s="842"/>
      <c r="AY56" s="842"/>
      <c r="AZ56" s="842"/>
      <c r="BA56" s="842"/>
      <c r="BB56" s="842"/>
      <c r="BC56" s="842"/>
      <c r="BD56" s="842"/>
      <c r="BE56" s="842"/>
      <c r="BF56" s="842"/>
      <c r="BG56" s="842"/>
      <c r="BH56" s="842"/>
      <c r="BI56" s="842"/>
      <c r="BJ56" s="842"/>
    </row>
    <row r="57" spans="1:62">
      <c r="A57" s="834"/>
      <c r="B57" s="834"/>
      <c r="C57" s="834"/>
      <c r="D57" s="834"/>
      <c r="E57" s="834"/>
      <c r="F57" s="875"/>
      <c r="G57" s="834"/>
      <c r="H57" s="834"/>
      <c r="I57" s="875"/>
      <c r="J57" s="834"/>
      <c r="K57" s="834"/>
      <c r="L57" s="875"/>
      <c r="M57" s="834"/>
      <c r="N57" s="875"/>
      <c r="O57" s="834"/>
      <c r="P57" s="834"/>
      <c r="Q57" s="834"/>
      <c r="R57" s="834"/>
      <c r="S57" s="834"/>
      <c r="T57" s="834"/>
      <c r="U57" s="834"/>
      <c r="V57" s="834"/>
      <c r="W57" s="834"/>
      <c r="X57" s="834"/>
      <c r="Y57" s="834"/>
      <c r="Z57" s="834"/>
      <c r="AA57" s="834"/>
      <c r="AB57" s="834"/>
      <c r="AC57" s="834"/>
      <c r="AD57" s="834"/>
      <c r="AE57" s="842"/>
      <c r="AF57" s="842"/>
      <c r="AG57" s="842"/>
      <c r="AH57" s="842"/>
      <c r="AI57" s="842"/>
      <c r="AJ57" s="842"/>
      <c r="AK57" s="842"/>
      <c r="AL57" s="842"/>
      <c r="AM57" s="842"/>
      <c r="AN57" s="842"/>
      <c r="AO57" s="842"/>
      <c r="AP57" s="842"/>
      <c r="AQ57" s="842"/>
      <c r="AR57" s="842"/>
      <c r="AS57" s="842"/>
      <c r="AT57" s="842"/>
      <c r="AU57" s="842"/>
      <c r="AV57" s="842"/>
      <c r="AW57" s="842"/>
      <c r="AX57" s="842"/>
      <c r="AY57" s="842"/>
      <c r="AZ57" s="842"/>
      <c r="BA57" s="842"/>
      <c r="BB57" s="842"/>
      <c r="BC57" s="842"/>
      <c r="BD57" s="842"/>
      <c r="BE57" s="842"/>
      <c r="BF57" s="842"/>
      <c r="BG57" s="842"/>
      <c r="BH57" s="842"/>
      <c r="BI57" s="842"/>
      <c r="BJ57" s="842"/>
    </row>
    <row r="58" spans="1:62" ht="24.75" customHeight="1">
      <c r="A58" s="993"/>
      <c r="B58" s="993"/>
      <c r="C58" s="993"/>
      <c r="D58" s="993"/>
      <c r="E58" s="993"/>
      <c r="F58" s="993"/>
      <c r="G58" s="993"/>
      <c r="H58" s="993"/>
      <c r="I58" s="993"/>
      <c r="J58" s="993"/>
      <c r="K58" s="993"/>
      <c r="L58" s="993"/>
      <c r="M58" s="993"/>
      <c r="N58" s="599"/>
      <c r="O58" s="423"/>
      <c r="P58" s="423"/>
      <c r="Q58" s="423"/>
      <c r="R58" s="423"/>
      <c r="S58" s="423"/>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4"/>
      <c r="AY58" s="834"/>
      <c r="AZ58" s="834"/>
      <c r="BA58" s="834"/>
      <c r="BB58" s="834"/>
      <c r="BC58" s="834"/>
      <c r="BD58" s="834"/>
      <c r="BE58" s="834"/>
      <c r="BF58" s="834"/>
      <c r="BG58" s="834"/>
      <c r="BH58" s="834"/>
      <c r="BI58" s="834"/>
      <c r="BJ58" s="834"/>
    </row>
    <row r="59" spans="1:62" ht="13.5" customHeight="1">
      <c r="A59" s="438"/>
      <c r="B59" s="424"/>
      <c r="C59" s="391"/>
      <c r="D59" s="424"/>
      <c r="E59" s="424"/>
      <c r="F59" s="424"/>
      <c r="G59" s="424"/>
      <c r="H59" s="424"/>
      <c r="I59" s="424"/>
      <c r="J59" s="424"/>
      <c r="K59" s="424"/>
      <c r="L59" s="424"/>
      <c r="M59" s="424"/>
      <c r="N59" s="599"/>
      <c r="O59" s="423"/>
      <c r="P59" s="423"/>
      <c r="Q59" s="423"/>
      <c r="R59" s="423"/>
      <c r="S59" s="423"/>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c r="AQ59" s="834"/>
      <c r="AR59" s="834"/>
      <c r="AS59" s="834"/>
      <c r="AT59" s="834"/>
      <c r="AU59" s="834"/>
      <c r="AV59" s="834"/>
      <c r="AW59" s="834"/>
      <c r="AX59" s="834"/>
      <c r="AY59" s="834"/>
      <c r="AZ59" s="834"/>
      <c r="BA59" s="834"/>
      <c r="BB59" s="834"/>
      <c r="BC59" s="834"/>
      <c r="BD59" s="834"/>
      <c r="BE59" s="834"/>
      <c r="BF59" s="834"/>
      <c r="BG59" s="834"/>
      <c r="BH59" s="834"/>
      <c r="BI59" s="834"/>
      <c r="BJ59" s="834"/>
    </row>
    <row r="60" spans="1:62" ht="13.5" customHeight="1">
      <c r="A60" s="439"/>
      <c r="B60" s="424"/>
      <c r="C60" s="391"/>
      <c r="D60" s="424"/>
      <c r="E60" s="424"/>
      <c r="F60" s="424"/>
      <c r="G60" s="424"/>
      <c r="H60" s="424"/>
      <c r="I60" s="424"/>
      <c r="J60" s="424"/>
      <c r="K60" s="424"/>
      <c r="L60" s="424"/>
      <c r="M60" s="424"/>
      <c r="N60" s="599"/>
      <c r="O60" s="423"/>
      <c r="P60" s="423"/>
      <c r="Q60" s="423"/>
      <c r="R60" s="423"/>
      <c r="S60" s="423"/>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c r="AQ60" s="834"/>
      <c r="AR60" s="834"/>
      <c r="AS60" s="834"/>
      <c r="AT60" s="834"/>
      <c r="AU60" s="834"/>
      <c r="AV60" s="834"/>
      <c r="AW60" s="834"/>
      <c r="AX60" s="834"/>
      <c r="AY60" s="834"/>
      <c r="AZ60" s="834"/>
      <c r="BA60" s="834"/>
      <c r="BB60" s="834"/>
      <c r="BC60" s="834"/>
      <c r="BD60" s="834"/>
      <c r="BE60" s="834"/>
      <c r="BF60" s="834"/>
      <c r="BG60" s="834"/>
      <c r="BH60" s="834"/>
      <c r="BI60" s="834"/>
      <c r="BJ60" s="834"/>
    </row>
    <row r="61" spans="1:62" ht="13.5" customHeight="1">
      <c r="A61" s="842"/>
      <c r="B61" s="842"/>
      <c r="C61" s="842"/>
      <c r="D61" s="842"/>
      <c r="E61" s="842"/>
      <c r="F61" s="842"/>
      <c r="G61" s="842"/>
      <c r="H61" s="842"/>
      <c r="I61" s="842"/>
      <c r="J61" s="842"/>
      <c r="K61" s="842"/>
      <c r="L61" s="842"/>
      <c r="M61" s="842"/>
      <c r="N61" s="599"/>
      <c r="O61" s="423"/>
      <c r="P61" s="423"/>
      <c r="Q61" s="423"/>
      <c r="R61" s="423"/>
      <c r="S61" s="423"/>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c r="AQ61" s="834"/>
      <c r="AR61" s="834"/>
      <c r="AS61" s="834"/>
      <c r="AT61" s="834"/>
      <c r="AU61" s="834"/>
      <c r="AV61" s="834"/>
      <c r="AW61" s="834"/>
      <c r="AX61" s="834"/>
      <c r="AY61" s="834"/>
      <c r="AZ61" s="834"/>
      <c r="BA61" s="834"/>
      <c r="BB61" s="834"/>
      <c r="BC61" s="834"/>
      <c r="BD61" s="834"/>
      <c r="BE61" s="834"/>
      <c r="BF61" s="834"/>
      <c r="BG61" s="834"/>
      <c r="BH61" s="834"/>
      <c r="BI61" s="834"/>
      <c r="BJ61" s="834"/>
    </row>
    <row r="62" spans="1:62" ht="13.5" customHeight="1">
      <c r="A62" s="392"/>
      <c r="B62" s="411"/>
      <c r="C62" s="411"/>
      <c r="D62" s="424"/>
      <c r="E62" s="424"/>
      <c r="F62" s="424"/>
      <c r="G62" s="424"/>
      <c r="H62" s="424"/>
      <c r="I62" s="424"/>
      <c r="J62" s="424"/>
      <c r="K62" s="424"/>
      <c r="L62" s="424"/>
      <c r="M62" s="424"/>
      <c r="N62" s="599"/>
      <c r="O62" s="423"/>
      <c r="P62" s="423"/>
      <c r="Q62" s="423"/>
      <c r="R62" s="423"/>
      <c r="S62" s="423"/>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c r="AT62" s="834"/>
      <c r="AU62" s="834"/>
      <c r="AV62" s="834"/>
      <c r="AW62" s="834"/>
      <c r="AX62" s="834"/>
      <c r="AY62" s="834"/>
      <c r="AZ62" s="834"/>
      <c r="BA62" s="834"/>
      <c r="BB62" s="834"/>
      <c r="BC62" s="834"/>
      <c r="BD62" s="834"/>
      <c r="BE62" s="834"/>
      <c r="BF62" s="834"/>
      <c r="BG62" s="834"/>
      <c r="BH62" s="834"/>
      <c r="BI62" s="834"/>
      <c r="BJ62" s="834"/>
    </row>
    <row r="63" spans="1:62">
      <c r="A63" s="440"/>
      <c r="B63" s="65"/>
      <c r="C63" s="440"/>
      <c r="D63" s="842"/>
      <c r="E63" s="842"/>
      <c r="F63" s="842"/>
      <c r="G63" s="842"/>
      <c r="H63" s="842"/>
      <c r="I63" s="842"/>
      <c r="J63" s="842"/>
      <c r="K63" s="842"/>
      <c r="L63" s="842"/>
      <c r="M63" s="842"/>
      <c r="N63" s="875"/>
      <c r="O63" s="834"/>
      <c r="P63" s="834"/>
      <c r="Q63" s="834"/>
      <c r="R63" s="834"/>
      <c r="S63" s="834"/>
      <c r="T63" s="834"/>
      <c r="U63" s="834"/>
      <c r="V63" s="834"/>
      <c r="W63" s="834"/>
      <c r="X63" s="834"/>
      <c r="Y63" s="834"/>
      <c r="Z63" s="834"/>
      <c r="AA63" s="834"/>
      <c r="AB63" s="834"/>
      <c r="AC63" s="834"/>
      <c r="AD63" s="834"/>
      <c r="AE63" s="842"/>
      <c r="AF63" s="842"/>
      <c r="AG63" s="842"/>
      <c r="AH63" s="842"/>
      <c r="AI63" s="842"/>
      <c r="AJ63" s="842"/>
      <c r="AK63" s="842"/>
      <c r="AL63" s="842"/>
      <c r="AM63" s="842"/>
      <c r="AN63" s="842"/>
      <c r="AO63" s="842"/>
      <c r="AP63" s="842"/>
      <c r="AQ63" s="842"/>
      <c r="AR63" s="842"/>
      <c r="AS63" s="842"/>
      <c r="AT63" s="842"/>
      <c r="AU63" s="842"/>
      <c r="AV63" s="842"/>
      <c r="AW63" s="842"/>
      <c r="AX63" s="842"/>
      <c r="AY63" s="842"/>
      <c r="AZ63" s="842"/>
      <c r="BA63" s="842"/>
      <c r="BB63" s="842"/>
      <c r="BC63" s="842"/>
      <c r="BD63" s="842"/>
      <c r="BE63" s="842"/>
      <c r="BF63" s="842"/>
      <c r="BG63" s="842"/>
      <c r="BH63" s="842"/>
      <c r="BI63" s="842"/>
      <c r="BJ63" s="842"/>
    </row>
    <row r="64" spans="1:62">
      <c r="A64" s="440"/>
      <c r="B64" s="65"/>
      <c r="C64" s="440"/>
      <c r="D64" s="842"/>
      <c r="E64" s="842"/>
      <c r="F64" s="842"/>
      <c r="G64" s="842"/>
      <c r="H64" s="842"/>
      <c r="I64" s="842"/>
      <c r="J64" s="842"/>
      <c r="K64" s="842"/>
      <c r="L64" s="842"/>
      <c r="M64" s="842"/>
      <c r="N64" s="875"/>
      <c r="O64" s="834"/>
      <c r="P64" s="834"/>
      <c r="Q64" s="834"/>
      <c r="R64" s="834"/>
      <c r="S64" s="834"/>
      <c r="T64" s="834"/>
      <c r="U64" s="834"/>
      <c r="V64" s="834"/>
      <c r="W64" s="834"/>
      <c r="X64" s="834"/>
      <c r="Y64" s="834"/>
      <c r="Z64" s="834"/>
      <c r="AA64" s="834"/>
      <c r="AB64" s="834"/>
      <c r="AC64" s="834"/>
      <c r="AD64" s="834"/>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row>
    <row r="65" spans="1:13">
      <c r="A65" s="440"/>
      <c r="B65" s="65"/>
      <c r="C65" s="440"/>
      <c r="D65" s="842"/>
      <c r="E65" s="842"/>
      <c r="F65" s="842"/>
      <c r="G65" s="842"/>
      <c r="H65" s="842"/>
      <c r="I65" s="842"/>
      <c r="J65" s="842"/>
      <c r="K65" s="842"/>
      <c r="L65" s="842"/>
      <c r="M65" s="842"/>
    </row>
    <row r="66" spans="1:13">
      <c r="A66" s="440"/>
      <c r="B66" s="65"/>
      <c r="C66" s="440"/>
      <c r="D66" s="842"/>
      <c r="E66" s="842"/>
      <c r="F66" s="842"/>
      <c r="G66" s="842"/>
      <c r="H66" s="842"/>
      <c r="I66" s="842"/>
      <c r="J66" s="842"/>
      <c r="K66" s="842"/>
      <c r="L66" s="842"/>
      <c r="M66" s="842"/>
    </row>
    <row r="67" spans="1:13">
      <c r="A67" s="111"/>
      <c r="B67" s="65"/>
      <c r="C67" s="65"/>
      <c r="D67" s="842"/>
      <c r="E67" s="842"/>
      <c r="F67" s="842"/>
      <c r="G67" s="842"/>
      <c r="H67" s="842"/>
      <c r="I67" s="842"/>
      <c r="J67" s="842"/>
      <c r="K67" s="842"/>
      <c r="L67" s="842"/>
      <c r="M67" s="842"/>
    </row>
    <row r="68" spans="1:13">
      <c r="A68" s="842"/>
      <c r="B68" s="842"/>
      <c r="C68" s="842"/>
      <c r="D68" s="842"/>
      <c r="E68" s="842"/>
      <c r="F68" s="842"/>
      <c r="G68" s="842"/>
      <c r="H68" s="842"/>
      <c r="I68" s="842"/>
      <c r="J68" s="842"/>
      <c r="K68" s="842"/>
      <c r="L68" s="842"/>
      <c r="M68" s="842"/>
    </row>
  </sheetData>
  <mergeCells count="4">
    <mergeCell ref="A9:M9"/>
    <mergeCell ref="B14:F14"/>
    <mergeCell ref="G14:L14"/>
    <mergeCell ref="A58:M58"/>
  </mergeCells>
  <hyperlinks>
    <hyperlink ref="B7" location="BG!A1" display="BG" xr:uid="{617828FB-FBEC-454D-B38B-249E5A03F59B}"/>
    <hyperlink ref="B10" location="BG!A1" display="BG" xr:uid="{B282C19F-303B-4E5D-8951-CD72E28E8BEB}"/>
  </hyperlinks>
  <pageMargins left="0.7" right="0.7" top="0.75" bottom="0.75" header="0.3" footer="0.3"/>
  <pageSetup orientation="portrait" r:id="rId1"/>
  <ignoredErrors>
    <ignoredError sqref="K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B73"/>
  <sheetViews>
    <sheetView showGridLines="0" workbookViewId="0">
      <selection activeCell="B1" sqref="B1"/>
    </sheetView>
  </sheetViews>
  <sheetFormatPr baseColWidth="10" defaultColWidth="11.42578125" defaultRowHeight="15"/>
  <cols>
    <col min="1" max="1" width="86.7109375" customWidth="1"/>
    <col min="2" max="2" width="15.28515625" customWidth="1"/>
    <col min="3" max="3" width="15.140625" customWidth="1"/>
    <col min="4" max="4" width="0.28515625" customWidth="1"/>
    <col min="5" max="12" width="11.42578125" hidden="1" customWidth="1"/>
    <col min="13" max="13" width="0.140625" customWidth="1"/>
    <col min="14" max="14" width="13.42578125" customWidth="1"/>
    <col min="15" max="15" width="12.7109375" bestFit="1" customWidth="1"/>
  </cols>
  <sheetData>
    <row r="1" spans="1:16382" s="406" customFormat="1" ht="18.75" customHeight="1">
      <c r="A1" s="217" t="str">
        <f>+Indice!C1</f>
        <v>NICOLAS GONZALEZ ODDONE S.A.E.C.A</v>
      </c>
      <c r="B1" s="634" t="s">
        <v>18</v>
      </c>
      <c r="C1" s="224"/>
      <c r="D1" s="89"/>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2"/>
      <c r="BZ1" s="842"/>
      <c r="CA1" s="842"/>
      <c r="CB1" s="842"/>
      <c r="CC1" s="842"/>
      <c r="CD1" s="842"/>
      <c r="CE1" s="842"/>
      <c r="CF1" s="842"/>
      <c r="CG1" s="842"/>
      <c r="CH1" s="842"/>
      <c r="CI1" s="842"/>
      <c r="CJ1" s="842"/>
      <c r="CK1" s="842"/>
      <c r="CL1" s="842"/>
      <c r="CM1" s="842"/>
      <c r="CN1" s="842"/>
      <c r="CO1" s="842"/>
      <c r="CP1" s="842"/>
      <c r="CQ1" s="842"/>
      <c r="CR1" s="842"/>
      <c r="CS1" s="842"/>
      <c r="CT1" s="842"/>
      <c r="CU1" s="842"/>
      <c r="CV1" s="842"/>
      <c r="CW1" s="842"/>
      <c r="CX1" s="842"/>
      <c r="CY1" s="842"/>
      <c r="CZ1" s="842"/>
      <c r="DA1" s="842"/>
      <c r="DB1" s="842"/>
      <c r="DC1" s="842"/>
      <c r="DD1" s="842"/>
      <c r="DE1" s="842"/>
      <c r="DF1" s="842"/>
      <c r="DG1" s="842"/>
      <c r="DH1" s="842"/>
      <c r="DI1" s="842"/>
      <c r="DJ1" s="842"/>
      <c r="DK1" s="842"/>
      <c r="DL1" s="842"/>
      <c r="DM1" s="842"/>
      <c r="DN1" s="842"/>
      <c r="DO1" s="842"/>
      <c r="DP1" s="842"/>
      <c r="DQ1" s="842"/>
      <c r="DR1" s="842"/>
      <c r="DS1" s="842"/>
      <c r="DT1" s="842"/>
      <c r="DU1" s="842"/>
      <c r="DV1" s="842"/>
      <c r="DW1" s="842"/>
      <c r="DX1" s="842"/>
      <c r="DY1" s="842"/>
      <c r="DZ1" s="842"/>
      <c r="EA1" s="842"/>
      <c r="EB1" s="842"/>
      <c r="EC1" s="842"/>
      <c r="ED1" s="842"/>
      <c r="EE1" s="842"/>
      <c r="EF1" s="842"/>
      <c r="EG1" s="842"/>
      <c r="EH1" s="842"/>
      <c r="EI1" s="842"/>
      <c r="EJ1" s="842"/>
      <c r="EK1" s="842"/>
      <c r="EL1" s="842"/>
      <c r="EM1" s="842"/>
      <c r="EN1" s="842"/>
      <c r="EO1" s="842"/>
      <c r="EP1" s="842"/>
      <c r="EQ1" s="842"/>
      <c r="ER1" s="842"/>
      <c r="ES1" s="842"/>
      <c r="ET1" s="842"/>
      <c r="EU1" s="842"/>
      <c r="EV1" s="842"/>
      <c r="EW1" s="842"/>
      <c r="EX1" s="842"/>
      <c r="EY1" s="842"/>
      <c r="EZ1" s="842"/>
      <c r="FA1" s="842"/>
      <c r="FB1" s="842"/>
      <c r="FC1" s="842"/>
      <c r="FD1" s="842"/>
      <c r="FE1" s="842"/>
      <c r="FF1" s="842"/>
      <c r="FG1" s="842"/>
      <c r="FH1" s="842"/>
      <c r="FI1" s="842"/>
      <c r="FJ1" s="842"/>
      <c r="FK1" s="842"/>
      <c r="FL1" s="842"/>
      <c r="FM1" s="842"/>
      <c r="FN1" s="842"/>
      <c r="FO1" s="842"/>
      <c r="FP1" s="842"/>
      <c r="FQ1" s="842"/>
      <c r="FR1" s="842"/>
      <c r="FS1" s="842"/>
      <c r="FT1" s="842"/>
      <c r="FU1" s="842"/>
      <c r="FV1" s="842"/>
      <c r="FW1" s="842"/>
      <c r="FX1" s="842"/>
      <c r="FY1" s="842"/>
      <c r="FZ1" s="842"/>
      <c r="GA1" s="842"/>
      <c r="GB1" s="842"/>
      <c r="GC1" s="842"/>
      <c r="GD1" s="842"/>
      <c r="GE1" s="842"/>
      <c r="GF1" s="842"/>
      <c r="GG1" s="842"/>
      <c r="GH1" s="842"/>
      <c r="GI1" s="842"/>
      <c r="GJ1" s="842"/>
      <c r="GK1" s="842"/>
      <c r="GL1" s="842"/>
      <c r="GM1" s="842"/>
      <c r="GN1" s="842"/>
      <c r="GO1" s="842"/>
      <c r="GP1" s="842"/>
      <c r="GQ1" s="842"/>
      <c r="GR1" s="842"/>
      <c r="GS1" s="842"/>
      <c r="GT1" s="842"/>
      <c r="GU1" s="842"/>
      <c r="GV1" s="842"/>
      <c r="GW1" s="842"/>
      <c r="GX1" s="842"/>
      <c r="GY1" s="842"/>
      <c r="GZ1" s="842"/>
      <c r="HA1" s="842"/>
      <c r="HB1" s="842"/>
      <c r="HC1" s="842"/>
      <c r="HD1" s="842"/>
      <c r="HE1" s="842"/>
      <c r="HF1" s="842"/>
      <c r="HG1" s="842"/>
      <c r="HH1" s="842"/>
      <c r="HI1" s="842"/>
      <c r="HJ1" s="842"/>
      <c r="HK1" s="842"/>
      <c r="HL1" s="842"/>
      <c r="HM1" s="842"/>
      <c r="HN1" s="842"/>
      <c r="HO1" s="842"/>
      <c r="HP1" s="842"/>
      <c r="HQ1" s="842"/>
      <c r="HR1" s="842"/>
      <c r="HS1" s="842"/>
      <c r="HT1" s="842"/>
      <c r="HU1" s="842"/>
      <c r="HV1" s="842"/>
      <c r="HW1" s="842"/>
      <c r="HX1" s="842"/>
      <c r="HY1" s="842"/>
      <c r="HZ1" s="842"/>
      <c r="IA1" s="842"/>
      <c r="IB1" s="842"/>
      <c r="IC1" s="842"/>
      <c r="ID1" s="842"/>
      <c r="IE1" s="842"/>
      <c r="IF1" s="842"/>
      <c r="IG1" s="842"/>
      <c r="IH1" s="842"/>
      <c r="II1" s="842"/>
      <c r="IJ1" s="842"/>
      <c r="IK1" s="842"/>
      <c r="IL1" s="842"/>
      <c r="IM1" s="842"/>
      <c r="IN1" s="842"/>
      <c r="IO1" s="842"/>
      <c r="IP1" s="842"/>
      <c r="IQ1" s="842"/>
      <c r="IR1" s="842"/>
      <c r="IS1" s="842"/>
      <c r="IT1" s="842"/>
      <c r="IU1" s="842"/>
      <c r="IV1" s="842"/>
      <c r="IW1" s="842"/>
      <c r="IX1" s="842"/>
      <c r="IY1" s="842"/>
      <c r="IZ1" s="842"/>
      <c r="JA1" s="842"/>
      <c r="JB1" s="842"/>
      <c r="JC1" s="842"/>
      <c r="JD1" s="842"/>
      <c r="JE1" s="842"/>
      <c r="JF1" s="842"/>
      <c r="JG1" s="842"/>
      <c r="JH1" s="842"/>
      <c r="JI1" s="842"/>
      <c r="JJ1" s="842"/>
      <c r="JK1" s="842"/>
      <c r="JL1" s="842"/>
      <c r="JM1" s="842"/>
      <c r="JN1" s="842"/>
      <c r="JO1" s="842"/>
      <c r="JP1" s="842"/>
      <c r="JQ1" s="842"/>
      <c r="JR1" s="842"/>
      <c r="JS1" s="842"/>
      <c r="JT1" s="842"/>
      <c r="JU1" s="842"/>
      <c r="JV1" s="842"/>
      <c r="JW1" s="842"/>
      <c r="JX1" s="842"/>
      <c r="JY1" s="842"/>
      <c r="JZ1" s="842"/>
      <c r="KA1" s="842"/>
      <c r="KB1" s="842"/>
      <c r="KC1" s="842"/>
      <c r="KD1" s="842"/>
      <c r="KE1" s="842"/>
      <c r="KF1" s="842"/>
      <c r="KG1" s="842"/>
      <c r="KH1" s="842"/>
      <c r="KI1" s="842"/>
      <c r="KJ1" s="842"/>
      <c r="KK1" s="842"/>
      <c r="KL1" s="842"/>
      <c r="KM1" s="842"/>
      <c r="KN1" s="842"/>
      <c r="KO1" s="842"/>
      <c r="KP1" s="842"/>
      <c r="KQ1" s="842"/>
      <c r="KR1" s="842"/>
      <c r="KS1" s="842"/>
      <c r="KT1" s="842"/>
      <c r="KU1" s="842"/>
      <c r="KV1" s="842"/>
      <c r="KW1" s="842"/>
      <c r="KX1" s="842"/>
      <c r="KY1" s="842"/>
      <c r="KZ1" s="842"/>
      <c r="LA1" s="842"/>
      <c r="LB1" s="842"/>
      <c r="LC1" s="842"/>
      <c r="LD1" s="842"/>
      <c r="LE1" s="842"/>
      <c r="LF1" s="842"/>
      <c r="LG1" s="842"/>
      <c r="LH1" s="842"/>
      <c r="LI1" s="842"/>
      <c r="LJ1" s="842"/>
      <c r="LK1" s="842"/>
      <c r="LL1" s="842"/>
      <c r="LM1" s="842"/>
      <c r="LN1" s="842"/>
      <c r="LO1" s="842"/>
      <c r="LP1" s="842"/>
      <c r="LQ1" s="842"/>
      <c r="LR1" s="842"/>
      <c r="LS1" s="842"/>
      <c r="LT1" s="842"/>
      <c r="LU1" s="842"/>
      <c r="LV1" s="842"/>
      <c r="LW1" s="842"/>
      <c r="LX1" s="842"/>
      <c r="LY1" s="842"/>
      <c r="LZ1" s="842"/>
      <c r="MA1" s="842"/>
      <c r="MB1" s="842"/>
      <c r="MC1" s="842"/>
      <c r="MD1" s="842"/>
      <c r="ME1" s="842"/>
      <c r="MF1" s="842"/>
      <c r="MG1" s="842"/>
      <c r="MH1" s="842"/>
      <c r="MI1" s="842"/>
      <c r="MJ1" s="842"/>
      <c r="MK1" s="842"/>
      <c r="ML1" s="842"/>
      <c r="MM1" s="842"/>
      <c r="MN1" s="842"/>
      <c r="MO1" s="842"/>
      <c r="MP1" s="842"/>
      <c r="MQ1" s="842"/>
      <c r="MR1" s="842"/>
      <c r="MS1" s="842"/>
      <c r="MT1" s="842"/>
      <c r="MU1" s="842"/>
      <c r="MV1" s="842"/>
      <c r="MW1" s="842"/>
      <c r="MX1" s="842"/>
      <c r="MY1" s="842"/>
      <c r="MZ1" s="842"/>
      <c r="NA1" s="842"/>
      <c r="NB1" s="842"/>
      <c r="NC1" s="842"/>
      <c r="ND1" s="842"/>
      <c r="NE1" s="842"/>
      <c r="NF1" s="842"/>
      <c r="NG1" s="842"/>
      <c r="NH1" s="842"/>
      <c r="NI1" s="842"/>
      <c r="NJ1" s="842"/>
      <c r="NK1" s="842"/>
      <c r="NL1" s="842"/>
      <c r="NM1" s="842"/>
      <c r="NN1" s="842"/>
      <c r="NO1" s="842"/>
      <c r="NP1" s="842"/>
      <c r="NQ1" s="842"/>
      <c r="NR1" s="842"/>
      <c r="NS1" s="842"/>
      <c r="NT1" s="842"/>
      <c r="NU1" s="842"/>
      <c r="NV1" s="842"/>
      <c r="NW1" s="842"/>
      <c r="NX1" s="842"/>
      <c r="NY1" s="842"/>
      <c r="NZ1" s="842"/>
      <c r="OA1" s="842"/>
      <c r="OB1" s="842"/>
      <c r="OC1" s="842"/>
      <c r="OD1" s="842"/>
      <c r="OE1" s="842"/>
      <c r="OF1" s="842"/>
      <c r="OG1" s="842"/>
      <c r="OH1" s="842"/>
      <c r="OI1" s="842"/>
      <c r="OJ1" s="842"/>
      <c r="OK1" s="842"/>
      <c r="OL1" s="842"/>
      <c r="OM1" s="842"/>
      <c r="ON1" s="842"/>
      <c r="OO1" s="842"/>
      <c r="OP1" s="842"/>
      <c r="OQ1" s="842"/>
      <c r="OR1" s="842"/>
      <c r="OS1" s="842"/>
      <c r="OT1" s="842"/>
      <c r="OU1" s="842"/>
      <c r="OV1" s="842"/>
      <c r="OW1" s="842"/>
      <c r="OX1" s="842"/>
      <c r="OY1" s="842"/>
      <c r="OZ1" s="842"/>
      <c r="PA1" s="842"/>
      <c r="PB1" s="842"/>
      <c r="PC1" s="842"/>
      <c r="PD1" s="842"/>
      <c r="PE1" s="842"/>
      <c r="PF1" s="842"/>
      <c r="PG1" s="842"/>
      <c r="PH1" s="842"/>
      <c r="PI1" s="842"/>
      <c r="PJ1" s="842"/>
      <c r="PK1" s="842"/>
      <c r="PL1" s="842"/>
      <c r="PM1" s="842"/>
      <c r="PN1" s="842"/>
      <c r="PO1" s="842"/>
      <c r="PP1" s="842"/>
      <c r="PQ1" s="842"/>
      <c r="PR1" s="842"/>
      <c r="PS1" s="842"/>
      <c r="PT1" s="842"/>
      <c r="PU1" s="842"/>
      <c r="PV1" s="842"/>
      <c r="PW1" s="842"/>
      <c r="PX1" s="842"/>
      <c r="PY1" s="842"/>
      <c r="PZ1" s="842"/>
      <c r="QA1" s="842"/>
      <c r="QB1" s="842"/>
      <c r="QC1" s="842"/>
      <c r="QD1" s="842"/>
      <c r="QE1" s="842"/>
      <c r="QF1" s="842"/>
      <c r="QG1" s="842"/>
      <c r="QH1" s="842"/>
      <c r="QI1" s="842"/>
      <c r="QJ1" s="842"/>
      <c r="QK1" s="842"/>
      <c r="QL1" s="842"/>
      <c r="QM1" s="842"/>
      <c r="QN1" s="842"/>
      <c r="QO1" s="842"/>
      <c r="QP1" s="842"/>
      <c r="QQ1" s="842"/>
      <c r="QR1" s="842"/>
      <c r="QS1" s="842"/>
      <c r="QT1" s="842"/>
      <c r="QU1" s="842"/>
      <c r="QV1" s="842"/>
      <c r="QW1" s="842"/>
      <c r="QX1" s="842"/>
      <c r="QY1" s="842"/>
      <c r="QZ1" s="842"/>
      <c r="RA1" s="842"/>
      <c r="RB1" s="842"/>
      <c r="RC1" s="842"/>
      <c r="RD1" s="842"/>
      <c r="RE1" s="842"/>
      <c r="RF1" s="842"/>
      <c r="RG1" s="842"/>
      <c r="RH1" s="842"/>
      <c r="RI1" s="842"/>
      <c r="RJ1" s="842"/>
      <c r="RK1" s="842"/>
      <c r="RL1" s="842"/>
      <c r="RM1" s="842"/>
      <c r="RN1" s="842"/>
      <c r="RO1" s="842"/>
      <c r="RP1" s="842"/>
      <c r="RQ1" s="842"/>
      <c r="RR1" s="842"/>
      <c r="RS1" s="842"/>
      <c r="RT1" s="842"/>
      <c r="RU1" s="842"/>
      <c r="RV1" s="842"/>
      <c r="RW1" s="842"/>
      <c r="RX1" s="842"/>
      <c r="RY1" s="842"/>
      <c r="RZ1" s="842"/>
      <c r="SA1" s="842"/>
      <c r="SB1" s="842"/>
      <c r="SC1" s="842"/>
      <c r="SD1" s="842"/>
      <c r="SE1" s="842"/>
      <c r="SF1" s="842"/>
      <c r="SG1" s="842"/>
      <c r="SH1" s="842"/>
      <c r="SI1" s="842"/>
      <c r="SJ1" s="842"/>
      <c r="SK1" s="842"/>
      <c r="SL1" s="842"/>
      <c r="SM1" s="842"/>
      <c r="SN1" s="842"/>
      <c r="SO1" s="842"/>
      <c r="SP1" s="842"/>
      <c r="SQ1" s="842"/>
      <c r="SR1" s="842"/>
      <c r="SS1" s="842"/>
      <c r="ST1" s="842"/>
      <c r="SU1" s="842"/>
      <c r="SV1" s="842"/>
      <c r="SW1" s="842"/>
      <c r="SX1" s="842"/>
      <c r="SY1" s="842"/>
      <c r="SZ1" s="842"/>
      <c r="TA1" s="842"/>
      <c r="TB1" s="842"/>
      <c r="TC1" s="842"/>
      <c r="TD1" s="842"/>
      <c r="TE1" s="842"/>
      <c r="TF1" s="842"/>
      <c r="TG1" s="842"/>
      <c r="TH1" s="842"/>
      <c r="TI1" s="842"/>
      <c r="TJ1" s="842"/>
      <c r="TK1" s="842"/>
      <c r="TL1" s="842"/>
      <c r="TM1" s="842"/>
      <c r="TN1" s="842"/>
      <c r="TO1" s="842"/>
      <c r="TP1" s="842"/>
      <c r="TQ1" s="842"/>
      <c r="TR1" s="842"/>
      <c r="TS1" s="842"/>
      <c r="TT1" s="842"/>
      <c r="TU1" s="842"/>
      <c r="TV1" s="842"/>
      <c r="TW1" s="842"/>
      <c r="TX1" s="842"/>
      <c r="TY1" s="842"/>
      <c r="TZ1" s="842"/>
      <c r="UA1" s="842"/>
      <c r="UB1" s="842"/>
      <c r="UC1" s="842"/>
      <c r="UD1" s="842"/>
      <c r="UE1" s="842"/>
      <c r="UF1" s="842"/>
      <c r="UG1" s="842"/>
      <c r="UH1" s="842"/>
      <c r="UI1" s="842"/>
      <c r="UJ1" s="842"/>
      <c r="UK1" s="842"/>
      <c r="UL1" s="842"/>
      <c r="UM1" s="842"/>
      <c r="UN1" s="842"/>
      <c r="UO1" s="842"/>
      <c r="UP1" s="842"/>
      <c r="UQ1" s="842"/>
      <c r="UR1" s="842"/>
      <c r="US1" s="842"/>
      <c r="UT1" s="842"/>
      <c r="UU1" s="842"/>
      <c r="UV1" s="842"/>
      <c r="UW1" s="842"/>
      <c r="UX1" s="842"/>
      <c r="UY1" s="842"/>
      <c r="UZ1" s="842"/>
      <c r="VA1" s="842"/>
      <c r="VB1" s="842"/>
      <c r="VC1" s="842"/>
      <c r="VD1" s="842"/>
      <c r="VE1" s="842"/>
      <c r="VF1" s="842"/>
      <c r="VG1" s="842"/>
      <c r="VH1" s="842"/>
      <c r="VI1" s="842"/>
      <c r="VJ1" s="842"/>
      <c r="VK1" s="842"/>
      <c r="VL1" s="842"/>
      <c r="VM1" s="842"/>
      <c r="VN1" s="842"/>
      <c r="VO1" s="842"/>
      <c r="VP1" s="842"/>
      <c r="VQ1" s="842"/>
      <c r="VR1" s="842"/>
      <c r="VS1" s="842"/>
      <c r="VT1" s="842"/>
      <c r="VU1" s="842"/>
      <c r="VV1" s="842"/>
      <c r="VW1" s="842"/>
      <c r="VX1" s="842"/>
      <c r="VY1" s="842"/>
      <c r="VZ1" s="842"/>
      <c r="WA1" s="842"/>
      <c r="WB1" s="842"/>
      <c r="WC1" s="842"/>
      <c r="WD1" s="842"/>
      <c r="WE1" s="842"/>
      <c r="WF1" s="842"/>
      <c r="WG1" s="842"/>
      <c r="WH1" s="842"/>
      <c r="WI1" s="842"/>
      <c r="WJ1" s="842"/>
      <c r="WK1" s="842"/>
      <c r="WL1" s="842"/>
      <c r="WM1" s="842"/>
      <c r="WN1" s="842"/>
      <c r="WO1" s="842"/>
      <c r="WP1" s="842"/>
      <c r="WQ1" s="842"/>
      <c r="WR1" s="842"/>
      <c r="WS1" s="842"/>
      <c r="WT1" s="842"/>
      <c r="WU1" s="842"/>
      <c r="WV1" s="842"/>
      <c r="WW1" s="842"/>
      <c r="WX1" s="842"/>
      <c r="WY1" s="842"/>
      <c r="WZ1" s="842"/>
      <c r="XA1" s="842"/>
      <c r="XB1" s="842"/>
      <c r="XC1" s="842"/>
      <c r="XD1" s="842"/>
      <c r="XE1" s="842"/>
      <c r="XF1" s="842"/>
      <c r="XG1" s="842"/>
      <c r="XH1" s="842"/>
      <c r="XI1" s="842"/>
      <c r="XJ1" s="842"/>
      <c r="XK1" s="842"/>
      <c r="XL1" s="842"/>
      <c r="XM1" s="842"/>
      <c r="XN1" s="842"/>
      <c r="XO1" s="842"/>
      <c r="XP1" s="842"/>
      <c r="XQ1" s="842"/>
      <c r="XR1" s="842"/>
      <c r="XS1" s="842"/>
      <c r="XT1" s="842"/>
      <c r="XU1" s="842"/>
      <c r="XV1" s="842"/>
      <c r="XW1" s="842"/>
      <c r="XX1" s="842"/>
      <c r="XY1" s="842"/>
      <c r="XZ1" s="842"/>
      <c r="YA1" s="842"/>
      <c r="YB1" s="842"/>
      <c r="YC1" s="842"/>
      <c r="YD1" s="842"/>
      <c r="YE1" s="842"/>
      <c r="YF1" s="842"/>
      <c r="YG1" s="842"/>
      <c r="YH1" s="842"/>
      <c r="YI1" s="842"/>
      <c r="YJ1" s="842"/>
      <c r="YK1" s="842"/>
      <c r="YL1" s="842"/>
      <c r="YM1" s="842"/>
      <c r="YN1" s="842"/>
      <c r="YO1" s="842"/>
      <c r="YP1" s="842"/>
      <c r="YQ1" s="842"/>
      <c r="YR1" s="842"/>
      <c r="YS1" s="842"/>
      <c r="YT1" s="842"/>
      <c r="YU1" s="842"/>
      <c r="YV1" s="842"/>
      <c r="YW1" s="842"/>
      <c r="YX1" s="842"/>
      <c r="YY1" s="842"/>
      <c r="YZ1" s="842"/>
      <c r="ZA1" s="842"/>
      <c r="ZB1" s="842"/>
      <c r="ZC1" s="842"/>
      <c r="ZD1" s="842"/>
      <c r="ZE1" s="842"/>
      <c r="ZF1" s="842"/>
      <c r="ZG1" s="842"/>
      <c r="ZH1" s="842"/>
      <c r="ZI1" s="842"/>
      <c r="ZJ1" s="842"/>
      <c r="ZK1" s="842"/>
      <c r="ZL1" s="842"/>
      <c r="ZM1" s="842"/>
      <c r="ZN1" s="842"/>
      <c r="ZO1" s="842"/>
      <c r="ZP1" s="842"/>
      <c r="ZQ1" s="842"/>
      <c r="ZR1" s="842"/>
      <c r="ZS1" s="842"/>
      <c r="ZT1" s="842"/>
      <c r="ZU1" s="842"/>
      <c r="ZV1" s="842"/>
      <c r="ZW1" s="842"/>
      <c r="ZX1" s="842"/>
      <c r="ZY1" s="842"/>
      <c r="ZZ1" s="842"/>
      <c r="AAA1" s="842"/>
      <c r="AAB1" s="842"/>
      <c r="AAC1" s="842"/>
      <c r="AAD1" s="842"/>
      <c r="AAE1" s="842"/>
      <c r="AAF1" s="842"/>
      <c r="AAG1" s="842"/>
      <c r="AAH1" s="842"/>
      <c r="AAI1" s="842"/>
      <c r="AAJ1" s="842"/>
      <c r="AAK1" s="842"/>
      <c r="AAL1" s="842"/>
      <c r="AAM1" s="842"/>
      <c r="AAN1" s="842"/>
      <c r="AAO1" s="842"/>
      <c r="AAP1" s="842"/>
      <c r="AAQ1" s="842"/>
      <c r="AAR1" s="842"/>
      <c r="AAS1" s="842"/>
      <c r="AAT1" s="842"/>
      <c r="AAU1" s="842"/>
      <c r="AAV1" s="842"/>
      <c r="AAW1" s="842"/>
      <c r="AAX1" s="842"/>
      <c r="AAY1" s="842"/>
      <c r="AAZ1" s="842"/>
      <c r="ABA1" s="842"/>
      <c r="ABB1" s="842"/>
      <c r="ABC1" s="842"/>
      <c r="ABD1" s="842"/>
      <c r="ABE1" s="842"/>
      <c r="ABF1" s="842"/>
      <c r="ABG1" s="842"/>
      <c r="ABH1" s="842"/>
      <c r="ABI1" s="842"/>
      <c r="ABJ1" s="842"/>
      <c r="ABK1" s="842"/>
      <c r="ABL1" s="842"/>
      <c r="ABM1" s="842"/>
      <c r="ABN1" s="842"/>
      <c r="ABO1" s="842"/>
      <c r="ABP1" s="842"/>
      <c r="ABQ1" s="842"/>
      <c r="ABR1" s="842"/>
      <c r="ABS1" s="842"/>
      <c r="ABT1" s="842"/>
      <c r="ABU1" s="842"/>
      <c r="ABV1" s="842"/>
      <c r="ABW1" s="842"/>
      <c r="ABX1" s="842"/>
      <c r="ABY1" s="842"/>
      <c r="ABZ1" s="842"/>
      <c r="ACA1" s="842"/>
      <c r="ACB1" s="842"/>
      <c r="ACC1" s="842"/>
      <c r="ACD1" s="842"/>
      <c r="ACE1" s="842"/>
      <c r="ACF1" s="842"/>
      <c r="ACG1" s="842"/>
      <c r="ACH1" s="842"/>
      <c r="ACI1" s="842"/>
      <c r="ACJ1" s="842"/>
      <c r="ACK1" s="842"/>
      <c r="ACL1" s="842"/>
      <c r="ACM1" s="842"/>
      <c r="ACN1" s="842"/>
      <c r="ACO1" s="842"/>
      <c r="ACP1" s="842"/>
      <c r="ACQ1" s="842"/>
      <c r="ACR1" s="842"/>
      <c r="ACS1" s="842"/>
      <c r="ACT1" s="842"/>
      <c r="ACU1" s="842"/>
      <c r="ACV1" s="842"/>
      <c r="ACW1" s="842"/>
      <c r="ACX1" s="842"/>
      <c r="ACY1" s="842"/>
      <c r="ACZ1" s="842"/>
      <c r="ADA1" s="842"/>
      <c r="ADB1" s="842"/>
      <c r="ADC1" s="842"/>
      <c r="ADD1" s="842"/>
      <c r="ADE1" s="842"/>
      <c r="ADF1" s="842"/>
      <c r="ADG1" s="842"/>
      <c r="ADH1" s="842"/>
      <c r="ADI1" s="842"/>
      <c r="ADJ1" s="842"/>
      <c r="ADK1" s="842"/>
      <c r="ADL1" s="842"/>
      <c r="ADM1" s="842"/>
      <c r="ADN1" s="842"/>
      <c r="ADO1" s="842"/>
      <c r="ADP1" s="842"/>
      <c r="ADQ1" s="842"/>
      <c r="ADR1" s="842"/>
      <c r="ADS1" s="842"/>
      <c r="ADT1" s="842"/>
      <c r="ADU1" s="842"/>
      <c r="ADV1" s="842"/>
      <c r="ADW1" s="842"/>
      <c r="ADX1" s="842"/>
      <c r="ADY1" s="842"/>
      <c r="ADZ1" s="842"/>
      <c r="AEA1" s="842"/>
      <c r="AEB1" s="842"/>
      <c r="AEC1" s="842"/>
      <c r="AED1" s="842"/>
      <c r="AEE1" s="842"/>
      <c r="AEF1" s="842"/>
      <c r="AEG1" s="842"/>
      <c r="AEH1" s="842"/>
      <c r="AEI1" s="842"/>
      <c r="AEJ1" s="842"/>
      <c r="AEK1" s="842"/>
      <c r="AEL1" s="842"/>
      <c r="AEM1" s="842"/>
      <c r="AEN1" s="842"/>
      <c r="AEO1" s="842"/>
      <c r="AEP1" s="842"/>
      <c r="AEQ1" s="842"/>
      <c r="AER1" s="842"/>
      <c r="AES1" s="842"/>
      <c r="AET1" s="842"/>
      <c r="AEU1" s="842"/>
      <c r="AEV1" s="842"/>
      <c r="AEW1" s="842"/>
      <c r="AEX1" s="842"/>
      <c r="AEY1" s="842"/>
      <c r="AEZ1" s="842"/>
      <c r="AFA1" s="842"/>
      <c r="AFB1" s="842"/>
      <c r="AFC1" s="842"/>
      <c r="AFD1" s="842"/>
      <c r="AFE1" s="842"/>
      <c r="AFF1" s="842"/>
      <c r="AFG1" s="842"/>
      <c r="AFH1" s="842"/>
      <c r="AFI1" s="842"/>
      <c r="AFJ1" s="842"/>
      <c r="AFK1" s="842"/>
      <c r="AFL1" s="842"/>
      <c r="AFM1" s="842"/>
      <c r="AFN1" s="842"/>
      <c r="AFO1" s="842"/>
      <c r="AFP1" s="842"/>
      <c r="AFQ1" s="842"/>
      <c r="AFR1" s="842"/>
      <c r="AFS1" s="842"/>
      <c r="AFT1" s="842"/>
      <c r="AFU1" s="842"/>
      <c r="AFV1" s="842"/>
      <c r="AFW1" s="842"/>
      <c r="AFX1" s="842"/>
      <c r="AFY1" s="842"/>
      <c r="AFZ1" s="842"/>
      <c r="AGA1" s="842"/>
      <c r="AGB1" s="842"/>
      <c r="AGC1" s="842"/>
      <c r="AGD1" s="842"/>
      <c r="AGE1" s="842"/>
      <c r="AGF1" s="842"/>
      <c r="AGG1" s="842"/>
      <c r="AGH1" s="842"/>
      <c r="AGI1" s="842"/>
      <c r="AGJ1" s="842"/>
      <c r="AGK1" s="842"/>
      <c r="AGL1" s="842"/>
      <c r="AGM1" s="842"/>
      <c r="AGN1" s="842"/>
      <c r="AGO1" s="842"/>
      <c r="AGP1" s="842"/>
      <c r="AGQ1" s="842"/>
      <c r="AGR1" s="842"/>
      <c r="AGS1" s="842"/>
      <c r="AGT1" s="842"/>
      <c r="AGU1" s="842"/>
      <c r="AGV1" s="842"/>
      <c r="AGW1" s="842"/>
      <c r="AGX1" s="842"/>
      <c r="AGY1" s="842"/>
      <c r="AGZ1" s="842"/>
      <c r="AHA1" s="842"/>
      <c r="AHB1" s="842"/>
      <c r="AHC1" s="842"/>
      <c r="AHD1" s="842"/>
      <c r="AHE1" s="842"/>
      <c r="AHF1" s="842"/>
      <c r="AHG1" s="842"/>
      <c r="AHH1" s="842"/>
      <c r="AHI1" s="842"/>
      <c r="AHJ1" s="842"/>
      <c r="AHK1" s="842"/>
      <c r="AHL1" s="842"/>
      <c r="AHM1" s="842"/>
      <c r="AHN1" s="842"/>
      <c r="AHO1" s="842"/>
      <c r="AHP1" s="842"/>
      <c r="AHQ1" s="842"/>
      <c r="AHR1" s="842"/>
      <c r="AHS1" s="842"/>
      <c r="AHT1" s="842"/>
      <c r="AHU1" s="842"/>
      <c r="AHV1" s="842"/>
      <c r="AHW1" s="842"/>
      <c r="AHX1" s="842"/>
      <c r="AHY1" s="842"/>
      <c r="AHZ1" s="842"/>
      <c r="AIA1" s="842"/>
      <c r="AIB1" s="842"/>
      <c r="AIC1" s="842"/>
      <c r="AID1" s="842"/>
      <c r="AIE1" s="842"/>
      <c r="AIF1" s="842"/>
      <c r="AIG1" s="842"/>
      <c r="AIH1" s="842"/>
      <c r="AII1" s="842"/>
      <c r="AIJ1" s="842"/>
      <c r="AIK1" s="842"/>
      <c r="AIL1" s="842"/>
      <c r="AIM1" s="842"/>
      <c r="AIN1" s="842"/>
      <c r="AIO1" s="842"/>
      <c r="AIP1" s="842"/>
      <c r="AIQ1" s="842"/>
      <c r="AIR1" s="842"/>
      <c r="AIS1" s="842"/>
      <c r="AIT1" s="842"/>
      <c r="AIU1" s="842"/>
      <c r="AIV1" s="842"/>
      <c r="AIW1" s="842"/>
      <c r="AIX1" s="842"/>
      <c r="AIY1" s="842"/>
      <c r="AIZ1" s="842"/>
      <c r="AJA1" s="842"/>
      <c r="AJB1" s="842"/>
      <c r="AJC1" s="842"/>
      <c r="AJD1" s="842"/>
      <c r="AJE1" s="842"/>
      <c r="AJF1" s="842"/>
      <c r="AJG1" s="842"/>
      <c r="AJH1" s="842"/>
      <c r="AJI1" s="842"/>
      <c r="AJJ1" s="842"/>
      <c r="AJK1" s="842"/>
      <c r="AJL1" s="842"/>
      <c r="AJM1" s="842"/>
      <c r="AJN1" s="842"/>
      <c r="AJO1" s="842"/>
      <c r="AJP1" s="842"/>
      <c r="AJQ1" s="842"/>
      <c r="AJR1" s="842"/>
      <c r="AJS1" s="842"/>
      <c r="AJT1" s="842"/>
      <c r="AJU1" s="842"/>
      <c r="AJV1" s="842"/>
      <c r="AJW1" s="842"/>
      <c r="AJX1" s="842"/>
      <c r="AJY1" s="842"/>
      <c r="AJZ1" s="842"/>
      <c r="AKA1" s="842"/>
      <c r="AKB1" s="842"/>
      <c r="AKC1" s="842"/>
      <c r="AKD1" s="842"/>
      <c r="AKE1" s="842"/>
      <c r="AKF1" s="842"/>
      <c r="AKG1" s="842"/>
      <c r="AKH1" s="842"/>
      <c r="AKI1" s="842"/>
      <c r="AKJ1" s="842"/>
      <c r="AKK1" s="842"/>
      <c r="AKL1" s="842"/>
      <c r="AKM1" s="842"/>
      <c r="AKN1" s="842"/>
      <c r="AKO1" s="842"/>
      <c r="AKP1" s="842"/>
      <c r="AKQ1" s="842"/>
      <c r="AKR1" s="842"/>
      <c r="AKS1" s="842"/>
      <c r="AKT1" s="842"/>
      <c r="AKU1" s="842"/>
      <c r="AKV1" s="842"/>
      <c r="AKW1" s="842"/>
      <c r="AKX1" s="842"/>
      <c r="AKY1" s="842"/>
      <c r="AKZ1" s="842"/>
      <c r="ALA1" s="842"/>
      <c r="ALB1" s="842"/>
      <c r="ALC1" s="842"/>
      <c r="ALD1" s="842"/>
      <c r="ALE1" s="842"/>
      <c r="ALF1" s="842"/>
      <c r="ALG1" s="842"/>
      <c r="ALH1" s="842"/>
      <c r="ALI1" s="842"/>
      <c r="ALJ1" s="842"/>
      <c r="ALK1" s="842"/>
      <c r="ALL1" s="842"/>
      <c r="ALM1" s="842"/>
      <c r="ALN1" s="842"/>
      <c r="ALO1" s="842"/>
      <c r="ALP1" s="842"/>
      <c r="ALQ1" s="842"/>
      <c r="ALR1" s="842"/>
      <c r="ALS1" s="842"/>
      <c r="ALT1" s="842"/>
      <c r="ALU1" s="842"/>
      <c r="ALV1" s="842"/>
      <c r="ALW1" s="842"/>
      <c r="ALX1" s="842"/>
      <c r="ALY1" s="842"/>
      <c r="ALZ1" s="842"/>
      <c r="AMA1" s="842"/>
      <c r="AMB1" s="842"/>
      <c r="AMC1" s="842"/>
      <c r="AMD1" s="842"/>
      <c r="AME1" s="842"/>
      <c r="AMF1" s="842"/>
      <c r="AMG1" s="842"/>
      <c r="AMH1" s="842"/>
      <c r="AMI1" s="842"/>
      <c r="AMJ1" s="842"/>
      <c r="AMK1" s="842"/>
      <c r="AML1" s="842"/>
      <c r="AMM1" s="842"/>
      <c r="AMN1" s="842"/>
      <c r="AMO1" s="842"/>
      <c r="AMP1" s="842"/>
      <c r="AMQ1" s="842"/>
      <c r="AMR1" s="842"/>
      <c r="AMS1" s="842"/>
      <c r="AMT1" s="842"/>
      <c r="AMU1" s="842"/>
      <c r="AMV1" s="842"/>
      <c r="AMW1" s="842"/>
      <c r="AMX1" s="842"/>
      <c r="AMY1" s="842"/>
      <c r="AMZ1" s="842"/>
      <c r="ANA1" s="842"/>
      <c r="ANB1" s="842"/>
      <c r="ANC1" s="842"/>
      <c r="AND1" s="842"/>
      <c r="ANE1" s="842"/>
      <c r="ANF1" s="842"/>
      <c r="ANG1" s="842"/>
      <c r="ANH1" s="842"/>
      <c r="ANI1" s="842"/>
      <c r="ANJ1" s="842"/>
      <c r="ANK1" s="842"/>
      <c r="ANL1" s="842"/>
      <c r="ANM1" s="842"/>
      <c r="ANN1" s="842"/>
      <c r="ANO1" s="842"/>
      <c r="ANP1" s="842"/>
      <c r="ANQ1" s="842"/>
      <c r="ANR1" s="842"/>
      <c r="ANS1" s="842"/>
      <c r="ANT1" s="842"/>
      <c r="ANU1" s="842"/>
      <c r="ANV1" s="842"/>
      <c r="ANW1" s="842"/>
      <c r="ANX1" s="842"/>
      <c r="ANY1" s="842"/>
      <c r="ANZ1" s="842"/>
      <c r="AOA1" s="842"/>
      <c r="AOB1" s="842"/>
      <c r="AOC1" s="842"/>
      <c r="AOD1" s="842"/>
      <c r="AOE1" s="842"/>
      <c r="AOF1" s="842"/>
      <c r="AOG1" s="842"/>
      <c r="AOH1" s="842"/>
      <c r="AOI1" s="842"/>
      <c r="AOJ1" s="842"/>
      <c r="AOK1" s="842"/>
      <c r="AOL1" s="842"/>
      <c r="AOM1" s="842"/>
      <c r="AON1" s="842"/>
      <c r="AOO1" s="842"/>
      <c r="AOP1" s="842"/>
      <c r="AOQ1" s="842"/>
      <c r="AOR1" s="842"/>
      <c r="AOS1" s="842"/>
      <c r="AOT1" s="842"/>
      <c r="AOU1" s="842"/>
      <c r="AOV1" s="842"/>
      <c r="AOW1" s="842"/>
      <c r="AOX1" s="842"/>
      <c r="AOY1" s="842"/>
      <c r="AOZ1" s="842"/>
      <c r="APA1" s="842"/>
      <c r="APB1" s="842"/>
      <c r="APC1" s="842"/>
      <c r="APD1" s="842"/>
      <c r="APE1" s="842"/>
      <c r="APF1" s="842"/>
      <c r="APG1" s="842"/>
      <c r="APH1" s="842"/>
      <c r="API1" s="842"/>
      <c r="APJ1" s="842"/>
      <c r="APK1" s="842"/>
      <c r="APL1" s="842"/>
      <c r="APM1" s="842"/>
      <c r="APN1" s="842"/>
      <c r="APO1" s="842"/>
      <c r="APP1" s="842"/>
      <c r="APQ1" s="842"/>
      <c r="APR1" s="842"/>
      <c r="APS1" s="842"/>
      <c r="APT1" s="842"/>
      <c r="APU1" s="842"/>
      <c r="APV1" s="842"/>
      <c r="APW1" s="842"/>
      <c r="APX1" s="842"/>
      <c r="APY1" s="842"/>
      <c r="APZ1" s="842"/>
      <c r="AQA1" s="842"/>
      <c r="AQB1" s="842"/>
      <c r="AQC1" s="842"/>
      <c r="AQD1" s="842"/>
      <c r="AQE1" s="842"/>
      <c r="AQF1" s="842"/>
      <c r="AQG1" s="842"/>
      <c r="AQH1" s="842"/>
      <c r="AQI1" s="842"/>
      <c r="AQJ1" s="842"/>
      <c r="AQK1" s="842"/>
      <c r="AQL1" s="842"/>
      <c r="AQM1" s="842"/>
      <c r="AQN1" s="842"/>
      <c r="AQO1" s="842"/>
      <c r="AQP1" s="842"/>
      <c r="AQQ1" s="842"/>
      <c r="AQR1" s="842"/>
      <c r="AQS1" s="842"/>
      <c r="AQT1" s="842"/>
      <c r="AQU1" s="842"/>
      <c r="AQV1" s="842"/>
      <c r="AQW1" s="842"/>
      <c r="AQX1" s="842"/>
      <c r="AQY1" s="842"/>
      <c r="AQZ1" s="842"/>
      <c r="ARA1" s="842"/>
      <c r="ARB1" s="842"/>
      <c r="ARC1" s="842"/>
      <c r="ARD1" s="842"/>
      <c r="ARE1" s="842"/>
      <c r="ARF1" s="842"/>
      <c r="ARG1" s="842"/>
      <c r="ARH1" s="842"/>
      <c r="ARI1" s="842"/>
      <c r="ARJ1" s="842"/>
      <c r="ARK1" s="842"/>
      <c r="ARL1" s="842"/>
      <c r="ARM1" s="842"/>
      <c r="ARN1" s="842"/>
      <c r="ARO1" s="842"/>
      <c r="ARP1" s="842"/>
      <c r="ARQ1" s="842"/>
      <c r="ARR1" s="842"/>
      <c r="ARS1" s="842"/>
      <c r="ART1" s="842"/>
      <c r="ARU1" s="842"/>
      <c r="ARV1" s="842"/>
      <c r="ARW1" s="842"/>
      <c r="ARX1" s="842"/>
      <c r="ARY1" s="842"/>
      <c r="ARZ1" s="842"/>
      <c r="ASA1" s="842"/>
      <c r="ASB1" s="842"/>
      <c r="ASC1" s="842"/>
      <c r="ASD1" s="842"/>
      <c r="ASE1" s="842"/>
      <c r="ASF1" s="842"/>
      <c r="ASG1" s="842"/>
      <c r="ASH1" s="842"/>
      <c r="ASI1" s="842"/>
      <c r="ASJ1" s="842"/>
      <c r="ASK1" s="842"/>
      <c r="ASL1" s="842"/>
      <c r="ASM1" s="842"/>
      <c r="ASN1" s="842"/>
      <c r="ASO1" s="842"/>
      <c r="ASP1" s="842"/>
      <c r="ASQ1" s="842"/>
      <c r="ASR1" s="842"/>
      <c r="ASS1" s="842"/>
      <c r="AST1" s="842"/>
      <c r="ASU1" s="842"/>
      <c r="ASV1" s="842"/>
      <c r="ASW1" s="842"/>
      <c r="ASX1" s="842"/>
      <c r="ASY1" s="842"/>
      <c r="ASZ1" s="842"/>
      <c r="ATA1" s="842"/>
      <c r="ATB1" s="842"/>
      <c r="ATC1" s="842"/>
      <c r="ATD1" s="842"/>
      <c r="ATE1" s="842"/>
      <c r="ATF1" s="842"/>
      <c r="ATG1" s="842"/>
      <c r="ATH1" s="842"/>
      <c r="ATI1" s="842"/>
      <c r="ATJ1" s="842"/>
      <c r="ATK1" s="842"/>
      <c r="ATL1" s="842"/>
      <c r="ATM1" s="842"/>
      <c r="ATN1" s="842"/>
      <c r="ATO1" s="842"/>
      <c r="ATP1" s="842"/>
      <c r="ATQ1" s="842"/>
      <c r="ATR1" s="842"/>
      <c r="ATS1" s="842"/>
      <c r="ATT1" s="842"/>
      <c r="ATU1" s="842"/>
      <c r="ATV1" s="842"/>
      <c r="ATW1" s="842"/>
      <c r="ATX1" s="842"/>
      <c r="ATY1" s="842"/>
      <c r="ATZ1" s="842"/>
      <c r="AUA1" s="842"/>
      <c r="AUB1" s="842"/>
      <c r="AUC1" s="842"/>
      <c r="AUD1" s="842"/>
      <c r="AUE1" s="842"/>
      <c r="AUF1" s="842"/>
      <c r="AUG1" s="842"/>
      <c r="AUH1" s="842"/>
      <c r="AUI1" s="842"/>
      <c r="AUJ1" s="842"/>
      <c r="AUK1" s="842"/>
      <c r="AUL1" s="842"/>
      <c r="AUM1" s="842"/>
      <c r="AUN1" s="842"/>
      <c r="AUO1" s="842"/>
      <c r="AUP1" s="842"/>
      <c r="AUQ1" s="842"/>
      <c r="AUR1" s="842"/>
      <c r="AUS1" s="842"/>
      <c r="AUT1" s="842"/>
      <c r="AUU1" s="842"/>
      <c r="AUV1" s="842"/>
      <c r="AUW1" s="842"/>
      <c r="AUX1" s="842"/>
      <c r="AUY1" s="842"/>
      <c r="AUZ1" s="842"/>
      <c r="AVA1" s="842"/>
      <c r="AVB1" s="842"/>
      <c r="AVC1" s="842"/>
      <c r="AVD1" s="842"/>
      <c r="AVE1" s="842"/>
      <c r="AVF1" s="842"/>
      <c r="AVG1" s="842"/>
      <c r="AVH1" s="842"/>
      <c r="AVI1" s="842"/>
      <c r="AVJ1" s="842"/>
      <c r="AVK1" s="842"/>
      <c r="AVL1" s="842"/>
      <c r="AVM1" s="842"/>
      <c r="AVN1" s="842"/>
      <c r="AVO1" s="842"/>
      <c r="AVP1" s="842"/>
      <c r="AVQ1" s="842"/>
      <c r="AVR1" s="842"/>
      <c r="AVS1" s="842"/>
      <c r="AVT1" s="842"/>
      <c r="AVU1" s="842"/>
      <c r="AVV1" s="842"/>
      <c r="AVW1" s="842"/>
      <c r="AVX1" s="842"/>
      <c r="AVY1" s="842"/>
      <c r="AVZ1" s="842"/>
      <c r="AWA1" s="842"/>
      <c r="AWB1" s="842"/>
      <c r="AWC1" s="842"/>
      <c r="AWD1" s="842"/>
      <c r="AWE1" s="842"/>
      <c r="AWF1" s="842"/>
      <c r="AWG1" s="842"/>
      <c r="AWH1" s="842"/>
      <c r="AWI1" s="842"/>
      <c r="AWJ1" s="842"/>
      <c r="AWK1" s="842"/>
      <c r="AWL1" s="842"/>
      <c r="AWM1" s="842"/>
      <c r="AWN1" s="842"/>
      <c r="AWO1" s="842"/>
      <c r="AWP1" s="842"/>
      <c r="AWQ1" s="842"/>
      <c r="AWR1" s="842"/>
      <c r="AWS1" s="842"/>
      <c r="AWT1" s="842"/>
      <c r="AWU1" s="842"/>
      <c r="AWV1" s="842"/>
      <c r="AWW1" s="842"/>
      <c r="AWX1" s="842"/>
      <c r="AWY1" s="842"/>
      <c r="AWZ1" s="842"/>
      <c r="AXA1" s="842"/>
      <c r="AXB1" s="842"/>
      <c r="AXC1" s="842"/>
      <c r="AXD1" s="842"/>
      <c r="AXE1" s="842"/>
      <c r="AXF1" s="842"/>
      <c r="AXG1" s="842"/>
      <c r="AXH1" s="842"/>
      <c r="AXI1" s="842"/>
      <c r="AXJ1" s="842"/>
      <c r="AXK1" s="842"/>
      <c r="AXL1" s="842"/>
      <c r="AXM1" s="842"/>
      <c r="AXN1" s="842"/>
      <c r="AXO1" s="842"/>
      <c r="AXP1" s="842"/>
      <c r="AXQ1" s="842"/>
      <c r="AXR1" s="842"/>
      <c r="AXS1" s="842"/>
      <c r="AXT1" s="842"/>
      <c r="AXU1" s="842"/>
      <c r="AXV1" s="842"/>
      <c r="AXW1" s="842"/>
      <c r="AXX1" s="842"/>
      <c r="AXY1" s="842"/>
      <c r="AXZ1" s="842"/>
      <c r="AYA1" s="842"/>
      <c r="AYB1" s="842"/>
      <c r="AYC1" s="842"/>
      <c r="AYD1" s="842"/>
      <c r="AYE1" s="842"/>
      <c r="AYF1" s="842"/>
      <c r="AYG1" s="842"/>
      <c r="AYH1" s="842"/>
      <c r="AYI1" s="842"/>
      <c r="AYJ1" s="842"/>
      <c r="AYK1" s="842"/>
      <c r="AYL1" s="842"/>
      <c r="AYM1" s="842"/>
      <c r="AYN1" s="842"/>
      <c r="AYO1" s="842"/>
      <c r="AYP1" s="842"/>
      <c r="AYQ1" s="842"/>
      <c r="AYR1" s="842"/>
      <c r="AYS1" s="842"/>
      <c r="AYT1" s="842"/>
      <c r="AYU1" s="842"/>
      <c r="AYV1" s="842"/>
      <c r="AYW1" s="842"/>
      <c r="AYX1" s="842"/>
      <c r="AYY1" s="842"/>
      <c r="AYZ1" s="842"/>
      <c r="AZA1" s="842"/>
      <c r="AZB1" s="842"/>
      <c r="AZC1" s="842"/>
      <c r="AZD1" s="842"/>
      <c r="AZE1" s="842"/>
      <c r="AZF1" s="842"/>
      <c r="AZG1" s="842"/>
      <c r="AZH1" s="842"/>
      <c r="AZI1" s="842"/>
      <c r="AZJ1" s="842"/>
      <c r="AZK1" s="842"/>
      <c r="AZL1" s="842"/>
      <c r="AZM1" s="842"/>
      <c r="AZN1" s="842"/>
      <c r="AZO1" s="842"/>
      <c r="AZP1" s="842"/>
      <c r="AZQ1" s="842"/>
      <c r="AZR1" s="842"/>
      <c r="AZS1" s="842"/>
      <c r="AZT1" s="842"/>
      <c r="AZU1" s="842"/>
      <c r="AZV1" s="842"/>
      <c r="AZW1" s="842"/>
      <c r="AZX1" s="842"/>
      <c r="AZY1" s="842"/>
      <c r="AZZ1" s="842"/>
      <c r="BAA1" s="842"/>
      <c r="BAB1" s="842"/>
      <c r="BAC1" s="842"/>
      <c r="BAD1" s="842"/>
      <c r="BAE1" s="842"/>
      <c r="BAF1" s="842"/>
      <c r="BAG1" s="842"/>
      <c r="BAH1" s="842"/>
      <c r="BAI1" s="842"/>
      <c r="BAJ1" s="842"/>
      <c r="BAK1" s="842"/>
      <c r="BAL1" s="842"/>
      <c r="BAM1" s="842"/>
      <c r="BAN1" s="842"/>
      <c r="BAO1" s="842"/>
      <c r="BAP1" s="842"/>
      <c r="BAQ1" s="842"/>
      <c r="BAR1" s="842"/>
      <c r="BAS1" s="842"/>
      <c r="BAT1" s="842"/>
      <c r="BAU1" s="842"/>
      <c r="BAV1" s="842"/>
      <c r="BAW1" s="842"/>
      <c r="BAX1" s="842"/>
      <c r="BAY1" s="842"/>
      <c r="BAZ1" s="842"/>
      <c r="BBA1" s="842"/>
      <c r="BBB1" s="842"/>
      <c r="BBC1" s="842"/>
      <c r="BBD1" s="842"/>
      <c r="BBE1" s="842"/>
      <c r="BBF1" s="842"/>
      <c r="BBG1" s="842"/>
      <c r="BBH1" s="842"/>
      <c r="BBI1" s="842"/>
      <c r="BBJ1" s="842"/>
      <c r="BBK1" s="842"/>
      <c r="BBL1" s="842"/>
      <c r="BBM1" s="842"/>
      <c r="BBN1" s="842"/>
      <c r="BBO1" s="842"/>
      <c r="BBP1" s="842"/>
      <c r="BBQ1" s="842"/>
      <c r="BBR1" s="842"/>
      <c r="BBS1" s="842"/>
      <c r="BBT1" s="842"/>
      <c r="BBU1" s="842"/>
      <c r="BBV1" s="842"/>
      <c r="BBW1" s="842"/>
      <c r="BBX1" s="842"/>
      <c r="BBY1" s="842"/>
      <c r="BBZ1" s="842"/>
      <c r="BCA1" s="842"/>
      <c r="BCB1" s="842"/>
      <c r="BCC1" s="842"/>
      <c r="BCD1" s="842"/>
      <c r="BCE1" s="842"/>
      <c r="BCF1" s="842"/>
      <c r="BCG1" s="842"/>
      <c r="BCH1" s="842"/>
      <c r="BCI1" s="842"/>
      <c r="BCJ1" s="842"/>
      <c r="BCK1" s="842"/>
      <c r="BCL1" s="842"/>
      <c r="BCM1" s="842"/>
      <c r="BCN1" s="842"/>
      <c r="BCO1" s="842"/>
      <c r="BCP1" s="842"/>
      <c r="BCQ1" s="842"/>
      <c r="BCR1" s="842"/>
      <c r="BCS1" s="842"/>
      <c r="BCT1" s="842"/>
      <c r="BCU1" s="842"/>
      <c r="BCV1" s="842"/>
      <c r="BCW1" s="842"/>
      <c r="BCX1" s="842"/>
      <c r="BCY1" s="842"/>
      <c r="BCZ1" s="842"/>
      <c r="BDA1" s="842"/>
      <c r="BDB1" s="842"/>
      <c r="BDC1" s="842"/>
      <c r="BDD1" s="842"/>
      <c r="BDE1" s="842"/>
      <c r="BDF1" s="842"/>
      <c r="BDG1" s="842"/>
      <c r="BDH1" s="842"/>
      <c r="BDI1" s="842"/>
      <c r="BDJ1" s="842"/>
      <c r="BDK1" s="842"/>
      <c r="BDL1" s="842"/>
      <c r="BDM1" s="842"/>
      <c r="BDN1" s="842"/>
      <c r="BDO1" s="842"/>
      <c r="BDP1" s="842"/>
      <c r="BDQ1" s="842"/>
      <c r="BDR1" s="842"/>
      <c r="BDS1" s="842"/>
      <c r="BDT1" s="842"/>
      <c r="BDU1" s="842"/>
      <c r="BDV1" s="842"/>
      <c r="BDW1" s="842"/>
      <c r="BDX1" s="842"/>
      <c r="BDY1" s="842"/>
      <c r="BDZ1" s="842"/>
      <c r="BEA1" s="842"/>
      <c r="BEB1" s="842"/>
      <c r="BEC1" s="842"/>
      <c r="BED1" s="842"/>
      <c r="BEE1" s="842"/>
      <c r="BEF1" s="842"/>
      <c r="BEG1" s="842"/>
      <c r="BEH1" s="842"/>
      <c r="BEI1" s="842"/>
      <c r="BEJ1" s="842"/>
      <c r="BEK1" s="842"/>
      <c r="BEL1" s="842"/>
      <c r="BEM1" s="842"/>
      <c r="BEN1" s="842"/>
      <c r="BEO1" s="842"/>
      <c r="BEP1" s="842"/>
      <c r="BEQ1" s="842"/>
      <c r="BER1" s="842"/>
      <c r="BES1" s="842"/>
      <c r="BET1" s="842"/>
      <c r="BEU1" s="842"/>
      <c r="BEV1" s="842"/>
      <c r="BEW1" s="842"/>
      <c r="BEX1" s="842"/>
      <c r="BEY1" s="842"/>
      <c r="BEZ1" s="842"/>
      <c r="BFA1" s="842"/>
      <c r="BFB1" s="842"/>
      <c r="BFC1" s="842"/>
      <c r="BFD1" s="842"/>
      <c r="BFE1" s="842"/>
      <c r="BFF1" s="842"/>
      <c r="BFG1" s="842"/>
      <c r="BFH1" s="842"/>
      <c r="BFI1" s="842"/>
      <c r="BFJ1" s="842"/>
      <c r="BFK1" s="842"/>
      <c r="BFL1" s="842"/>
      <c r="BFM1" s="842"/>
      <c r="BFN1" s="842"/>
      <c r="BFO1" s="842"/>
      <c r="BFP1" s="842"/>
      <c r="BFQ1" s="842"/>
      <c r="BFR1" s="842"/>
      <c r="BFS1" s="842"/>
      <c r="BFT1" s="842"/>
      <c r="BFU1" s="842"/>
      <c r="BFV1" s="842"/>
      <c r="BFW1" s="842"/>
      <c r="BFX1" s="842"/>
      <c r="BFY1" s="842"/>
      <c r="BFZ1" s="842"/>
      <c r="BGA1" s="842"/>
      <c r="BGB1" s="842"/>
      <c r="BGC1" s="842"/>
      <c r="BGD1" s="842"/>
      <c r="BGE1" s="842"/>
      <c r="BGF1" s="842"/>
      <c r="BGG1" s="842"/>
      <c r="BGH1" s="842"/>
      <c r="BGI1" s="842"/>
      <c r="BGJ1" s="842"/>
      <c r="BGK1" s="842"/>
      <c r="BGL1" s="842"/>
      <c r="BGM1" s="842"/>
      <c r="BGN1" s="842"/>
      <c r="BGO1" s="842"/>
      <c r="BGP1" s="842"/>
      <c r="BGQ1" s="842"/>
      <c r="BGR1" s="842"/>
      <c r="BGS1" s="842"/>
      <c r="BGT1" s="842"/>
      <c r="BGU1" s="842"/>
      <c r="BGV1" s="842"/>
      <c r="BGW1" s="842"/>
      <c r="BGX1" s="842"/>
      <c r="BGY1" s="842"/>
      <c r="BGZ1" s="842"/>
      <c r="BHA1" s="842"/>
      <c r="BHB1" s="842"/>
      <c r="BHC1" s="842"/>
      <c r="BHD1" s="842"/>
      <c r="BHE1" s="842"/>
      <c r="BHF1" s="842"/>
      <c r="BHG1" s="842"/>
      <c r="BHH1" s="842"/>
      <c r="BHI1" s="842"/>
      <c r="BHJ1" s="842"/>
      <c r="BHK1" s="842"/>
      <c r="BHL1" s="842"/>
      <c r="BHM1" s="842"/>
      <c r="BHN1" s="842"/>
      <c r="BHO1" s="842"/>
      <c r="BHP1" s="842"/>
      <c r="BHQ1" s="842"/>
      <c r="BHR1" s="842"/>
      <c r="BHS1" s="842"/>
      <c r="BHT1" s="842"/>
      <c r="BHU1" s="842"/>
      <c r="BHV1" s="842"/>
      <c r="BHW1" s="842"/>
      <c r="BHX1" s="842"/>
      <c r="BHY1" s="842"/>
      <c r="BHZ1" s="842"/>
      <c r="BIA1" s="842"/>
      <c r="BIB1" s="842"/>
      <c r="BIC1" s="842"/>
      <c r="BID1" s="842"/>
      <c r="BIE1" s="842"/>
      <c r="BIF1" s="842"/>
      <c r="BIG1" s="842"/>
      <c r="BIH1" s="842"/>
      <c r="BII1" s="842"/>
      <c r="BIJ1" s="842"/>
      <c r="BIK1" s="842"/>
      <c r="BIL1" s="842"/>
      <c r="BIM1" s="842"/>
      <c r="BIN1" s="842"/>
      <c r="BIO1" s="842"/>
      <c r="BIP1" s="842"/>
      <c r="BIQ1" s="842"/>
      <c r="BIR1" s="842"/>
      <c r="BIS1" s="842"/>
      <c r="BIT1" s="842"/>
      <c r="BIU1" s="842"/>
      <c r="BIV1" s="842"/>
      <c r="BIW1" s="842"/>
      <c r="BIX1" s="842"/>
      <c r="BIY1" s="842"/>
      <c r="BIZ1" s="842"/>
      <c r="BJA1" s="842"/>
      <c r="BJB1" s="842"/>
      <c r="BJC1" s="842"/>
      <c r="BJD1" s="842"/>
      <c r="BJE1" s="842"/>
      <c r="BJF1" s="842"/>
      <c r="BJG1" s="842"/>
      <c r="BJH1" s="842"/>
      <c r="BJI1" s="842"/>
      <c r="BJJ1" s="842"/>
      <c r="BJK1" s="842"/>
      <c r="BJL1" s="842"/>
      <c r="BJM1" s="842"/>
      <c r="BJN1" s="842"/>
      <c r="BJO1" s="842"/>
      <c r="BJP1" s="842"/>
      <c r="BJQ1" s="842"/>
      <c r="BJR1" s="842"/>
      <c r="BJS1" s="842"/>
      <c r="BJT1" s="842"/>
      <c r="BJU1" s="842"/>
      <c r="BJV1" s="842"/>
      <c r="BJW1" s="842"/>
      <c r="BJX1" s="842"/>
      <c r="BJY1" s="842"/>
      <c r="BJZ1" s="842"/>
      <c r="BKA1" s="842"/>
      <c r="BKB1" s="842"/>
      <c r="BKC1" s="842"/>
      <c r="BKD1" s="842"/>
      <c r="BKE1" s="842"/>
      <c r="BKF1" s="842"/>
      <c r="BKG1" s="842"/>
      <c r="BKH1" s="842"/>
      <c r="BKI1" s="842"/>
      <c r="BKJ1" s="842"/>
      <c r="BKK1" s="842"/>
      <c r="BKL1" s="842"/>
      <c r="BKM1" s="842"/>
      <c r="BKN1" s="842"/>
      <c r="BKO1" s="842"/>
      <c r="BKP1" s="842"/>
      <c r="BKQ1" s="842"/>
      <c r="BKR1" s="842"/>
      <c r="BKS1" s="842"/>
      <c r="BKT1" s="842"/>
      <c r="BKU1" s="842"/>
      <c r="BKV1" s="842"/>
      <c r="BKW1" s="842"/>
      <c r="BKX1" s="842"/>
      <c r="BKY1" s="842"/>
      <c r="BKZ1" s="842"/>
      <c r="BLA1" s="842"/>
      <c r="BLB1" s="842"/>
      <c r="BLC1" s="842"/>
      <c r="BLD1" s="842"/>
      <c r="BLE1" s="842"/>
      <c r="BLF1" s="842"/>
      <c r="BLG1" s="842"/>
      <c r="BLH1" s="842"/>
      <c r="BLI1" s="842"/>
      <c r="BLJ1" s="842"/>
      <c r="BLK1" s="842"/>
      <c r="BLL1" s="842"/>
      <c r="BLM1" s="842"/>
      <c r="BLN1" s="842"/>
      <c r="BLO1" s="842"/>
      <c r="BLP1" s="842"/>
      <c r="BLQ1" s="842"/>
      <c r="BLR1" s="842"/>
      <c r="BLS1" s="842"/>
      <c r="BLT1" s="842"/>
      <c r="BLU1" s="842"/>
      <c r="BLV1" s="842"/>
      <c r="BLW1" s="842"/>
      <c r="BLX1" s="842"/>
      <c r="BLY1" s="842"/>
      <c r="BLZ1" s="842"/>
      <c r="BMA1" s="842"/>
      <c r="BMB1" s="842"/>
      <c r="BMC1" s="842"/>
      <c r="BMD1" s="842"/>
      <c r="BME1" s="842"/>
      <c r="BMF1" s="842"/>
      <c r="BMG1" s="842"/>
      <c r="BMH1" s="842"/>
      <c r="BMI1" s="842"/>
      <c r="BMJ1" s="842"/>
      <c r="BMK1" s="842"/>
      <c r="BML1" s="842"/>
      <c r="BMM1" s="842"/>
      <c r="BMN1" s="842"/>
      <c r="BMO1" s="842"/>
      <c r="BMP1" s="842"/>
      <c r="BMQ1" s="842"/>
      <c r="BMR1" s="842"/>
      <c r="BMS1" s="842"/>
      <c r="BMT1" s="842"/>
      <c r="BMU1" s="842"/>
      <c r="BMV1" s="842"/>
      <c r="BMW1" s="842"/>
      <c r="BMX1" s="842"/>
      <c r="BMY1" s="842"/>
      <c r="BMZ1" s="842"/>
      <c r="BNA1" s="842"/>
      <c r="BNB1" s="842"/>
      <c r="BNC1" s="842"/>
      <c r="BND1" s="842"/>
      <c r="BNE1" s="842"/>
      <c r="BNF1" s="842"/>
      <c r="BNG1" s="842"/>
      <c r="BNH1" s="842"/>
      <c r="BNI1" s="842"/>
      <c r="BNJ1" s="842"/>
      <c r="BNK1" s="842"/>
      <c r="BNL1" s="842"/>
      <c r="BNM1" s="842"/>
      <c r="BNN1" s="842"/>
      <c r="BNO1" s="842"/>
      <c r="BNP1" s="842"/>
      <c r="BNQ1" s="842"/>
      <c r="BNR1" s="842"/>
      <c r="BNS1" s="842"/>
      <c r="BNT1" s="842"/>
      <c r="BNU1" s="842"/>
      <c r="BNV1" s="842"/>
      <c r="BNW1" s="842"/>
      <c r="BNX1" s="842"/>
      <c r="BNY1" s="842"/>
      <c r="BNZ1" s="842"/>
      <c r="BOA1" s="842"/>
      <c r="BOB1" s="842"/>
      <c r="BOC1" s="842"/>
      <c r="BOD1" s="842"/>
      <c r="BOE1" s="842"/>
      <c r="BOF1" s="842"/>
      <c r="BOG1" s="842"/>
      <c r="BOH1" s="842"/>
      <c r="BOI1" s="842"/>
      <c r="BOJ1" s="842"/>
      <c r="BOK1" s="842"/>
      <c r="BOL1" s="842"/>
      <c r="BOM1" s="842"/>
      <c r="BON1" s="842"/>
      <c r="BOO1" s="842"/>
      <c r="BOP1" s="842"/>
      <c r="BOQ1" s="842"/>
      <c r="BOR1" s="842"/>
      <c r="BOS1" s="842"/>
      <c r="BOT1" s="842"/>
      <c r="BOU1" s="842"/>
      <c r="BOV1" s="842"/>
      <c r="BOW1" s="842"/>
      <c r="BOX1" s="842"/>
      <c r="BOY1" s="842"/>
      <c r="BOZ1" s="842"/>
      <c r="BPA1" s="842"/>
      <c r="BPB1" s="842"/>
      <c r="BPC1" s="842"/>
      <c r="BPD1" s="842"/>
      <c r="BPE1" s="842"/>
      <c r="BPF1" s="842"/>
      <c r="BPG1" s="842"/>
      <c r="BPH1" s="842"/>
      <c r="BPI1" s="842"/>
      <c r="BPJ1" s="842"/>
      <c r="BPK1" s="842"/>
      <c r="BPL1" s="842"/>
      <c r="BPM1" s="842"/>
      <c r="BPN1" s="842"/>
      <c r="BPO1" s="842"/>
      <c r="BPP1" s="842"/>
      <c r="BPQ1" s="842"/>
      <c r="BPR1" s="842"/>
      <c r="BPS1" s="842"/>
      <c r="BPT1" s="842"/>
      <c r="BPU1" s="842"/>
      <c r="BPV1" s="842"/>
      <c r="BPW1" s="842"/>
      <c r="BPX1" s="842"/>
      <c r="BPY1" s="842"/>
      <c r="BPZ1" s="842"/>
      <c r="BQA1" s="842"/>
      <c r="BQB1" s="842"/>
      <c r="BQC1" s="842"/>
      <c r="BQD1" s="842"/>
      <c r="BQE1" s="842"/>
      <c r="BQF1" s="842"/>
      <c r="BQG1" s="842"/>
      <c r="BQH1" s="842"/>
      <c r="BQI1" s="842"/>
      <c r="BQJ1" s="842"/>
      <c r="BQK1" s="842"/>
      <c r="BQL1" s="842"/>
      <c r="BQM1" s="842"/>
      <c r="BQN1" s="842"/>
      <c r="BQO1" s="842"/>
      <c r="BQP1" s="842"/>
      <c r="BQQ1" s="842"/>
      <c r="BQR1" s="842"/>
      <c r="BQS1" s="842"/>
      <c r="BQT1" s="842"/>
      <c r="BQU1" s="842"/>
      <c r="BQV1" s="842"/>
      <c r="BQW1" s="842"/>
      <c r="BQX1" s="842"/>
      <c r="BQY1" s="842"/>
      <c r="BQZ1" s="842"/>
      <c r="BRA1" s="842"/>
      <c r="BRB1" s="842"/>
      <c r="BRC1" s="842"/>
      <c r="BRD1" s="842"/>
      <c r="BRE1" s="842"/>
      <c r="BRF1" s="842"/>
      <c r="BRG1" s="842"/>
      <c r="BRH1" s="842"/>
      <c r="BRI1" s="842"/>
      <c r="BRJ1" s="842"/>
      <c r="BRK1" s="842"/>
      <c r="BRL1" s="842"/>
      <c r="BRM1" s="842"/>
      <c r="BRN1" s="842"/>
      <c r="BRO1" s="842"/>
      <c r="BRP1" s="842"/>
      <c r="BRQ1" s="842"/>
      <c r="BRR1" s="842"/>
      <c r="BRS1" s="842"/>
      <c r="BRT1" s="842"/>
      <c r="BRU1" s="842"/>
      <c r="BRV1" s="842"/>
      <c r="BRW1" s="842"/>
      <c r="BRX1" s="842"/>
      <c r="BRY1" s="842"/>
      <c r="BRZ1" s="842"/>
      <c r="BSA1" s="842"/>
      <c r="BSB1" s="842"/>
      <c r="BSC1" s="842"/>
      <c r="BSD1" s="842"/>
      <c r="BSE1" s="842"/>
      <c r="BSF1" s="842"/>
      <c r="BSG1" s="842"/>
      <c r="BSH1" s="842"/>
      <c r="BSI1" s="842"/>
      <c r="BSJ1" s="842"/>
      <c r="BSK1" s="842"/>
      <c r="BSL1" s="842"/>
      <c r="BSM1" s="842"/>
      <c r="BSN1" s="842"/>
      <c r="BSO1" s="842"/>
      <c r="BSP1" s="842"/>
      <c r="BSQ1" s="842"/>
      <c r="BSR1" s="842"/>
      <c r="BSS1" s="842"/>
      <c r="BST1" s="842"/>
      <c r="BSU1" s="842"/>
      <c r="BSV1" s="842"/>
      <c r="BSW1" s="842"/>
      <c r="BSX1" s="842"/>
      <c r="BSY1" s="842"/>
      <c r="BSZ1" s="842"/>
      <c r="BTA1" s="842"/>
      <c r="BTB1" s="842"/>
      <c r="BTC1" s="842"/>
      <c r="BTD1" s="842"/>
      <c r="BTE1" s="842"/>
      <c r="BTF1" s="842"/>
      <c r="BTG1" s="842"/>
      <c r="BTH1" s="842"/>
      <c r="BTI1" s="842"/>
      <c r="BTJ1" s="842"/>
      <c r="BTK1" s="842"/>
      <c r="BTL1" s="842"/>
      <c r="BTM1" s="842"/>
      <c r="BTN1" s="842"/>
      <c r="BTO1" s="842"/>
      <c r="BTP1" s="842"/>
      <c r="BTQ1" s="842"/>
      <c r="BTR1" s="842"/>
      <c r="BTS1" s="842"/>
      <c r="BTT1" s="842"/>
      <c r="BTU1" s="842"/>
      <c r="BTV1" s="842"/>
      <c r="BTW1" s="842"/>
      <c r="BTX1" s="842"/>
      <c r="BTY1" s="842"/>
      <c r="BTZ1" s="842"/>
      <c r="BUA1" s="842"/>
      <c r="BUB1" s="842"/>
      <c r="BUC1" s="842"/>
      <c r="BUD1" s="842"/>
      <c r="BUE1" s="842"/>
      <c r="BUF1" s="842"/>
      <c r="BUG1" s="842"/>
      <c r="BUH1" s="842"/>
      <c r="BUI1" s="842"/>
      <c r="BUJ1" s="842"/>
      <c r="BUK1" s="842"/>
      <c r="BUL1" s="842"/>
      <c r="BUM1" s="842"/>
      <c r="BUN1" s="842"/>
      <c r="BUO1" s="842"/>
      <c r="BUP1" s="842"/>
      <c r="BUQ1" s="842"/>
      <c r="BUR1" s="842"/>
      <c r="BUS1" s="842"/>
      <c r="BUT1" s="842"/>
      <c r="BUU1" s="842"/>
      <c r="BUV1" s="842"/>
      <c r="BUW1" s="842"/>
      <c r="BUX1" s="842"/>
      <c r="BUY1" s="842"/>
      <c r="BUZ1" s="842"/>
      <c r="BVA1" s="842"/>
      <c r="BVB1" s="842"/>
      <c r="BVC1" s="842"/>
      <c r="BVD1" s="842"/>
      <c r="BVE1" s="842"/>
      <c r="BVF1" s="842"/>
      <c r="BVG1" s="842"/>
      <c r="BVH1" s="842"/>
      <c r="BVI1" s="842"/>
      <c r="BVJ1" s="842"/>
      <c r="BVK1" s="842"/>
      <c r="BVL1" s="842"/>
      <c r="BVM1" s="842"/>
      <c r="BVN1" s="842"/>
      <c r="BVO1" s="842"/>
      <c r="BVP1" s="842"/>
      <c r="BVQ1" s="842"/>
      <c r="BVR1" s="842"/>
      <c r="BVS1" s="842"/>
      <c r="BVT1" s="842"/>
      <c r="BVU1" s="842"/>
      <c r="BVV1" s="842"/>
      <c r="BVW1" s="842"/>
      <c r="BVX1" s="842"/>
      <c r="BVY1" s="842"/>
      <c r="BVZ1" s="842"/>
      <c r="BWA1" s="842"/>
      <c r="BWB1" s="842"/>
      <c r="BWC1" s="842"/>
      <c r="BWD1" s="842"/>
      <c r="BWE1" s="842"/>
      <c r="BWF1" s="842"/>
      <c r="BWG1" s="842"/>
      <c r="BWH1" s="842"/>
      <c r="BWI1" s="842"/>
      <c r="BWJ1" s="842"/>
      <c r="BWK1" s="842"/>
      <c r="BWL1" s="842"/>
      <c r="BWM1" s="842"/>
      <c r="BWN1" s="842"/>
      <c r="BWO1" s="842"/>
      <c r="BWP1" s="842"/>
      <c r="BWQ1" s="842"/>
      <c r="BWR1" s="842"/>
      <c r="BWS1" s="842"/>
      <c r="BWT1" s="842"/>
      <c r="BWU1" s="842"/>
      <c r="BWV1" s="842"/>
      <c r="BWW1" s="842"/>
      <c r="BWX1" s="842"/>
      <c r="BWY1" s="842"/>
      <c r="BWZ1" s="842"/>
      <c r="BXA1" s="842"/>
      <c r="BXB1" s="842"/>
      <c r="BXC1" s="842"/>
      <c r="BXD1" s="842"/>
      <c r="BXE1" s="842"/>
      <c r="BXF1" s="842"/>
      <c r="BXG1" s="842"/>
      <c r="BXH1" s="842"/>
      <c r="BXI1" s="842"/>
      <c r="BXJ1" s="842"/>
      <c r="BXK1" s="842"/>
      <c r="BXL1" s="842"/>
      <c r="BXM1" s="842"/>
      <c r="BXN1" s="842"/>
      <c r="BXO1" s="842"/>
      <c r="BXP1" s="842"/>
      <c r="BXQ1" s="842"/>
      <c r="BXR1" s="842"/>
      <c r="BXS1" s="842"/>
      <c r="BXT1" s="842"/>
      <c r="BXU1" s="842"/>
      <c r="BXV1" s="842"/>
      <c r="BXW1" s="842"/>
      <c r="BXX1" s="842"/>
      <c r="BXY1" s="842"/>
      <c r="BXZ1" s="842"/>
      <c r="BYA1" s="842"/>
      <c r="BYB1" s="842"/>
      <c r="BYC1" s="842"/>
      <c r="BYD1" s="842"/>
      <c r="BYE1" s="842"/>
      <c r="BYF1" s="842"/>
      <c r="BYG1" s="842"/>
      <c r="BYH1" s="842"/>
      <c r="BYI1" s="842"/>
      <c r="BYJ1" s="842"/>
      <c r="BYK1" s="842"/>
      <c r="BYL1" s="842"/>
      <c r="BYM1" s="842"/>
      <c r="BYN1" s="842"/>
      <c r="BYO1" s="842"/>
      <c r="BYP1" s="842"/>
      <c r="BYQ1" s="842"/>
      <c r="BYR1" s="842"/>
      <c r="BYS1" s="842"/>
      <c r="BYT1" s="842"/>
      <c r="BYU1" s="842"/>
      <c r="BYV1" s="842"/>
      <c r="BYW1" s="842"/>
      <c r="BYX1" s="842"/>
      <c r="BYY1" s="842"/>
      <c r="BYZ1" s="842"/>
      <c r="BZA1" s="842"/>
      <c r="BZB1" s="842"/>
      <c r="BZC1" s="842"/>
      <c r="BZD1" s="842"/>
      <c r="BZE1" s="842"/>
      <c r="BZF1" s="842"/>
      <c r="BZG1" s="842"/>
      <c r="BZH1" s="842"/>
      <c r="BZI1" s="842"/>
      <c r="BZJ1" s="842"/>
      <c r="BZK1" s="842"/>
      <c r="BZL1" s="842"/>
      <c r="BZM1" s="842"/>
      <c r="BZN1" s="842"/>
      <c r="BZO1" s="842"/>
      <c r="BZP1" s="842"/>
      <c r="BZQ1" s="842"/>
      <c r="BZR1" s="842"/>
      <c r="BZS1" s="842"/>
      <c r="BZT1" s="842"/>
      <c r="BZU1" s="842"/>
      <c r="BZV1" s="842"/>
      <c r="BZW1" s="842"/>
      <c r="BZX1" s="842"/>
      <c r="BZY1" s="842"/>
      <c r="BZZ1" s="842"/>
      <c r="CAA1" s="842"/>
      <c r="CAB1" s="842"/>
      <c r="CAC1" s="842"/>
      <c r="CAD1" s="842"/>
      <c r="CAE1" s="842"/>
      <c r="CAF1" s="842"/>
      <c r="CAG1" s="842"/>
      <c r="CAH1" s="842"/>
      <c r="CAI1" s="842"/>
      <c r="CAJ1" s="842"/>
      <c r="CAK1" s="842"/>
      <c r="CAL1" s="842"/>
      <c r="CAM1" s="842"/>
      <c r="CAN1" s="842"/>
      <c r="CAO1" s="842"/>
      <c r="CAP1" s="842"/>
      <c r="CAQ1" s="842"/>
      <c r="CAR1" s="842"/>
      <c r="CAS1" s="842"/>
      <c r="CAT1" s="842"/>
      <c r="CAU1" s="842"/>
      <c r="CAV1" s="842"/>
      <c r="CAW1" s="842"/>
      <c r="CAX1" s="842"/>
      <c r="CAY1" s="842"/>
      <c r="CAZ1" s="842"/>
      <c r="CBA1" s="842"/>
      <c r="CBB1" s="842"/>
      <c r="CBC1" s="842"/>
      <c r="CBD1" s="842"/>
      <c r="CBE1" s="842"/>
      <c r="CBF1" s="842"/>
      <c r="CBG1" s="842"/>
      <c r="CBH1" s="842"/>
      <c r="CBI1" s="842"/>
      <c r="CBJ1" s="842"/>
      <c r="CBK1" s="842"/>
      <c r="CBL1" s="842"/>
      <c r="CBM1" s="842"/>
      <c r="CBN1" s="842"/>
      <c r="CBO1" s="842"/>
      <c r="CBP1" s="842"/>
      <c r="CBQ1" s="842"/>
      <c r="CBR1" s="842"/>
      <c r="CBS1" s="842"/>
      <c r="CBT1" s="842"/>
      <c r="CBU1" s="842"/>
      <c r="CBV1" s="842"/>
      <c r="CBW1" s="842"/>
      <c r="CBX1" s="842"/>
      <c r="CBY1" s="842"/>
      <c r="CBZ1" s="842"/>
      <c r="CCA1" s="842"/>
      <c r="CCB1" s="842"/>
      <c r="CCC1" s="842"/>
      <c r="CCD1" s="842"/>
      <c r="CCE1" s="842"/>
      <c r="CCF1" s="842"/>
      <c r="CCG1" s="842"/>
      <c r="CCH1" s="842"/>
      <c r="CCI1" s="842"/>
      <c r="CCJ1" s="842"/>
      <c r="CCK1" s="842"/>
      <c r="CCL1" s="842"/>
      <c r="CCM1" s="842"/>
      <c r="CCN1" s="842"/>
      <c r="CCO1" s="842"/>
      <c r="CCP1" s="842"/>
      <c r="CCQ1" s="842"/>
      <c r="CCR1" s="842"/>
      <c r="CCS1" s="842"/>
      <c r="CCT1" s="842"/>
      <c r="CCU1" s="842"/>
      <c r="CCV1" s="842"/>
      <c r="CCW1" s="842"/>
      <c r="CCX1" s="842"/>
      <c r="CCY1" s="842"/>
      <c r="CCZ1" s="842"/>
      <c r="CDA1" s="842"/>
      <c r="CDB1" s="842"/>
      <c r="CDC1" s="842"/>
      <c r="CDD1" s="842"/>
      <c r="CDE1" s="842"/>
      <c r="CDF1" s="842"/>
      <c r="CDG1" s="842"/>
      <c r="CDH1" s="842"/>
      <c r="CDI1" s="842"/>
      <c r="CDJ1" s="842"/>
      <c r="CDK1" s="842"/>
      <c r="CDL1" s="842"/>
      <c r="CDM1" s="842"/>
      <c r="CDN1" s="842"/>
      <c r="CDO1" s="842"/>
      <c r="CDP1" s="842"/>
      <c r="CDQ1" s="842"/>
      <c r="CDR1" s="842"/>
      <c r="CDS1" s="842"/>
      <c r="CDT1" s="842"/>
      <c r="CDU1" s="842"/>
      <c r="CDV1" s="842"/>
      <c r="CDW1" s="842"/>
      <c r="CDX1" s="842"/>
      <c r="CDY1" s="842"/>
      <c r="CDZ1" s="842"/>
      <c r="CEA1" s="842"/>
      <c r="CEB1" s="842"/>
      <c r="CEC1" s="842"/>
      <c r="CED1" s="842"/>
      <c r="CEE1" s="842"/>
      <c r="CEF1" s="842"/>
      <c r="CEG1" s="842"/>
      <c r="CEH1" s="842"/>
      <c r="CEI1" s="842"/>
      <c r="CEJ1" s="842"/>
      <c r="CEK1" s="842"/>
      <c r="CEL1" s="842"/>
      <c r="CEM1" s="842"/>
      <c r="CEN1" s="842"/>
      <c r="CEO1" s="842"/>
      <c r="CEP1" s="842"/>
      <c r="CEQ1" s="842"/>
      <c r="CER1" s="842"/>
      <c r="CES1" s="842"/>
      <c r="CET1" s="842"/>
      <c r="CEU1" s="842"/>
      <c r="CEV1" s="842"/>
      <c r="CEW1" s="842"/>
      <c r="CEX1" s="842"/>
      <c r="CEY1" s="842"/>
      <c r="CEZ1" s="842"/>
      <c r="CFA1" s="842"/>
      <c r="CFB1" s="842"/>
      <c r="CFC1" s="842"/>
      <c r="CFD1" s="842"/>
      <c r="CFE1" s="842"/>
      <c r="CFF1" s="842"/>
      <c r="CFG1" s="842"/>
      <c r="CFH1" s="842"/>
      <c r="CFI1" s="842"/>
      <c r="CFJ1" s="842"/>
      <c r="CFK1" s="842"/>
      <c r="CFL1" s="842"/>
      <c r="CFM1" s="842"/>
      <c r="CFN1" s="842"/>
      <c r="CFO1" s="842"/>
      <c r="CFP1" s="842"/>
      <c r="CFQ1" s="842"/>
      <c r="CFR1" s="842"/>
      <c r="CFS1" s="842"/>
      <c r="CFT1" s="842"/>
      <c r="CFU1" s="842"/>
      <c r="CFV1" s="842"/>
      <c r="CFW1" s="842"/>
      <c r="CFX1" s="842"/>
      <c r="CFY1" s="842"/>
      <c r="CFZ1" s="842"/>
      <c r="CGA1" s="842"/>
      <c r="CGB1" s="842"/>
      <c r="CGC1" s="842"/>
      <c r="CGD1" s="842"/>
      <c r="CGE1" s="842"/>
      <c r="CGF1" s="842"/>
      <c r="CGG1" s="842"/>
      <c r="CGH1" s="842"/>
      <c r="CGI1" s="842"/>
      <c r="CGJ1" s="842"/>
      <c r="CGK1" s="842"/>
      <c r="CGL1" s="842"/>
      <c r="CGM1" s="842"/>
      <c r="CGN1" s="842"/>
      <c r="CGO1" s="842"/>
      <c r="CGP1" s="842"/>
      <c r="CGQ1" s="842"/>
      <c r="CGR1" s="842"/>
      <c r="CGS1" s="842"/>
      <c r="CGT1" s="842"/>
      <c r="CGU1" s="842"/>
      <c r="CGV1" s="842"/>
      <c r="CGW1" s="842"/>
      <c r="CGX1" s="842"/>
      <c r="CGY1" s="842"/>
      <c r="CGZ1" s="842"/>
      <c r="CHA1" s="842"/>
      <c r="CHB1" s="842"/>
      <c r="CHC1" s="842"/>
      <c r="CHD1" s="842"/>
      <c r="CHE1" s="842"/>
      <c r="CHF1" s="842"/>
      <c r="CHG1" s="842"/>
      <c r="CHH1" s="842"/>
      <c r="CHI1" s="842"/>
      <c r="CHJ1" s="842"/>
      <c r="CHK1" s="842"/>
      <c r="CHL1" s="842"/>
      <c r="CHM1" s="842"/>
      <c r="CHN1" s="842"/>
      <c r="CHO1" s="842"/>
      <c r="CHP1" s="842"/>
      <c r="CHQ1" s="842"/>
      <c r="CHR1" s="842"/>
      <c r="CHS1" s="842"/>
      <c r="CHT1" s="842"/>
      <c r="CHU1" s="842"/>
      <c r="CHV1" s="842"/>
      <c r="CHW1" s="842"/>
      <c r="CHX1" s="842"/>
      <c r="CHY1" s="842"/>
      <c r="CHZ1" s="842"/>
      <c r="CIA1" s="842"/>
      <c r="CIB1" s="842"/>
      <c r="CIC1" s="842"/>
      <c r="CID1" s="842"/>
      <c r="CIE1" s="842"/>
      <c r="CIF1" s="842"/>
      <c r="CIG1" s="842"/>
      <c r="CIH1" s="842"/>
      <c r="CII1" s="842"/>
      <c r="CIJ1" s="842"/>
      <c r="CIK1" s="842"/>
      <c r="CIL1" s="842"/>
      <c r="CIM1" s="842"/>
      <c r="CIN1" s="842"/>
      <c r="CIO1" s="842"/>
      <c r="CIP1" s="842"/>
      <c r="CIQ1" s="842"/>
      <c r="CIR1" s="842"/>
      <c r="CIS1" s="842"/>
      <c r="CIT1" s="842"/>
      <c r="CIU1" s="842"/>
      <c r="CIV1" s="842"/>
      <c r="CIW1" s="842"/>
      <c r="CIX1" s="842"/>
      <c r="CIY1" s="842"/>
      <c r="CIZ1" s="842"/>
      <c r="CJA1" s="842"/>
      <c r="CJB1" s="842"/>
      <c r="CJC1" s="842"/>
      <c r="CJD1" s="842"/>
      <c r="CJE1" s="842"/>
      <c r="CJF1" s="842"/>
      <c r="CJG1" s="842"/>
      <c r="CJH1" s="842"/>
      <c r="CJI1" s="842"/>
      <c r="CJJ1" s="842"/>
      <c r="CJK1" s="842"/>
      <c r="CJL1" s="842"/>
      <c r="CJM1" s="842"/>
      <c r="CJN1" s="842"/>
      <c r="CJO1" s="842"/>
      <c r="CJP1" s="842"/>
      <c r="CJQ1" s="842"/>
      <c r="CJR1" s="842"/>
      <c r="CJS1" s="842"/>
      <c r="CJT1" s="842"/>
      <c r="CJU1" s="842"/>
      <c r="CJV1" s="842"/>
      <c r="CJW1" s="842"/>
      <c r="CJX1" s="842"/>
      <c r="CJY1" s="842"/>
      <c r="CJZ1" s="842"/>
      <c r="CKA1" s="842"/>
      <c r="CKB1" s="842"/>
      <c r="CKC1" s="842"/>
      <c r="CKD1" s="842"/>
      <c r="CKE1" s="842"/>
      <c r="CKF1" s="842"/>
      <c r="CKG1" s="842"/>
      <c r="CKH1" s="842"/>
      <c r="CKI1" s="842"/>
      <c r="CKJ1" s="842"/>
      <c r="CKK1" s="842"/>
      <c r="CKL1" s="842"/>
      <c r="CKM1" s="842"/>
      <c r="CKN1" s="842"/>
      <c r="CKO1" s="842"/>
      <c r="CKP1" s="842"/>
      <c r="CKQ1" s="842"/>
      <c r="CKR1" s="842"/>
      <c r="CKS1" s="842"/>
      <c r="CKT1" s="842"/>
      <c r="CKU1" s="842"/>
      <c r="CKV1" s="842"/>
      <c r="CKW1" s="842"/>
      <c r="CKX1" s="842"/>
      <c r="CKY1" s="842"/>
      <c r="CKZ1" s="842"/>
      <c r="CLA1" s="842"/>
      <c r="CLB1" s="842"/>
      <c r="CLC1" s="842"/>
      <c r="CLD1" s="842"/>
      <c r="CLE1" s="842"/>
      <c r="CLF1" s="842"/>
      <c r="CLG1" s="842"/>
      <c r="CLH1" s="842"/>
      <c r="CLI1" s="842"/>
      <c r="CLJ1" s="842"/>
      <c r="CLK1" s="842"/>
      <c r="CLL1" s="842"/>
      <c r="CLM1" s="842"/>
      <c r="CLN1" s="842"/>
      <c r="CLO1" s="842"/>
      <c r="CLP1" s="842"/>
      <c r="CLQ1" s="842"/>
      <c r="CLR1" s="842"/>
      <c r="CLS1" s="842"/>
      <c r="CLT1" s="842"/>
      <c r="CLU1" s="842"/>
      <c r="CLV1" s="842"/>
      <c r="CLW1" s="842"/>
      <c r="CLX1" s="842"/>
      <c r="CLY1" s="842"/>
      <c r="CLZ1" s="842"/>
      <c r="CMA1" s="842"/>
      <c r="CMB1" s="842"/>
      <c r="CMC1" s="842"/>
      <c r="CMD1" s="842"/>
      <c r="CME1" s="842"/>
      <c r="CMF1" s="842"/>
      <c r="CMG1" s="842"/>
      <c r="CMH1" s="842"/>
      <c r="CMI1" s="842"/>
      <c r="CMJ1" s="842"/>
      <c r="CMK1" s="842"/>
      <c r="CML1" s="842"/>
      <c r="CMM1" s="842"/>
      <c r="CMN1" s="842"/>
      <c r="CMO1" s="842"/>
      <c r="CMP1" s="842"/>
      <c r="CMQ1" s="842"/>
      <c r="CMR1" s="842"/>
      <c r="CMS1" s="842"/>
      <c r="CMT1" s="842"/>
      <c r="CMU1" s="842"/>
      <c r="CMV1" s="842"/>
      <c r="CMW1" s="842"/>
      <c r="CMX1" s="842"/>
      <c r="CMY1" s="842"/>
      <c r="CMZ1" s="842"/>
      <c r="CNA1" s="842"/>
      <c r="CNB1" s="842"/>
      <c r="CNC1" s="842"/>
      <c r="CND1" s="842"/>
      <c r="CNE1" s="842"/>
      <c r="CNF1" s="842"/>
      <c r="CNG1" s="842"/>
      <c r="CNH1" s="842"/>
      <c r="CNI1" s="842"/>
      <c r="CNJ1" s="842"/>
      <c r="CNK1" s="842"/>
      <c r="CNL1" s="842"/>
      <c r="CNM1" s="842"/>
      <c r="CNN1" s="842"/>
      <c r="CNO1" s="842"/>
      <c r="CNP1" s="842"/>
      <c r="CNQ1" s="842"/>
      <c r="CNR1" s="842"/>
      <c r="CNS1" s="842"/>
      <c r="CNT1" s="842"/>
      <c r="CNU1" s="842"/>
      <c r="CNV1" s="842"/>
      <c r="CNW1" s="842"/>
      <c r="CNX1" s="842"/>
      <c r="CNY1" s="842"/>
      <c r="CNZ1" s="842"/>
      <c r="COA1" s="842"/>
      <c r="COB1" s="842"/>
      <c r="COC1" s="842"/>
      <c r="COD1" s="842"/>
      <c r="COE1" s="842"/>
      <c r="COF1" s="842"/>
      <c r="COG1" s="842"/>
      <c r="COH1" s="842"/>
      <c r="COI1" s="842"/>
      <c r="COJ1" s="842"/>
      <c r="COK1" s="842"/>
      <c r="COL1" s="842"/>
      <c r="COM1" s="842"/>
      <c r="CON1" s="842"/>
      <c r="COO1" s="842"/>
      <c r="COP1" s="842"/>
      <c r="COQ1" s="842"/>
      <c r="COR1" s="842"/>
      <c r="COS1" s="842"/>
      <c r="COT1" s="842"/>
      <c r="COU1" s="842"/>
      <c r="COV1" s="842"/>
      <c r="COW1" s="842"/>
      <c r="COX1" s="842"/>
      <c r="COY1" s="842"/>
      <c r="COZ1" s="842"/>
      <c r="CPA1" s="842"/>
      <c r="CPB1" s="842"/>
      <c r="CPC1" s="842"/>
      <c r="CPD1" s="842"/>
      <c r="CPE1" s="842"/>
      <c r="CPF1" s="842"/>
      <c r="CPG1" s="842"/>
      <c r="CPH1" s="842"/>
      <c r="CPI1" s="842"/>
      <c r="CPJ1" s="842"/>
      <c r="CPK1" s="842"/>
      <c r="CPL1" s="842"/>
      <c r="CPM1" s="842"/>
      <c r="CPN1" s="842"/>
      <c r="CPO1" s="842"/>
      <c r="CPP1" s="842"/>
      <c r="CPQ1" s="842"/>
      <c r="CPR1" s="842"/>
      <c r="CPS1" s="842"/>
      <c r="CPT1" s="842"/>
      <c r="CPU1" s="842"/>
      <c r="CPV1" s="842"/>
      <c r="CPW1" s="842"/>
      <c r="CPX1" s="842"/>
      <c r="CPY1" s="842"/>
      <c r="CPZ1" s="842"/>
      <c r="CQA1" s="842"/>
      <c r="CQB1" s="842"/>
      <c r="CQC1" s="842"/>
      <c r="CQD1" s="842"/>
      <c r="CQE1" s="842"/>
      <c r="CQF1" s="842"/>
      <c r="CQG1" s="842"/>
      <c r="CQH1" s="842"/>
      <c r="CQI1" s="842"/>
      <c r="CQJ1" s="842"/>
      <c r="CQK1" s="842"/>
      <c r="CQL1" s="842"/>
      <c r="CQM1" s="842"/>
      <c r="CQN1" s="842"/>
      <c r="CQO1" s="842"/>
      <c r="CQP1" s="842"/>
      <c r="CQQ1" s="842"/>
      <c r="CQR1" s="842"/>
      <c r="CQS1" s="842"/>
      <c r="CQT1" s="842"/>
      <c r="CQU1" s="842"/>
      <c r="CQV1" s="842"/>
      <c r="CQW1" s="842"/>
      <c r="CQX1" s="842"/>
      <c r="CQY1" s="842"/>
      <c r="CQZ1" s="842"/>
      <c r="CRA1" s="842"/>
      <c r="CRB1" s="842"/>
      <c r="CRC1" s="842"/>
      <c r="CRD1" s="842"/>
      <c r="CRE1" s="842"/>
      <c r="CRF1" s="842"/>
      <c r="CRG1" s="842"/>
      <c r="CRH1" s="842"/>
      <c r="CRI1" s="842"/>
      <c r="CRJ1" s="842"/>
      <c r="CRK1" s="842"/>
      <c r="CRL1" s="842"/>
      <c r="CRM1" s="842"/>
      <c r="CRN1" s="842"/>
      <c r="CRO1" s="842"/>
      <c r="CRP1" s="842"/>
      <c r="CRQ1" s="842"/>
      <c r="CRR1" s="842"/>
      <c r="CRS1" s="842"/>
      <c r="CRT1" s="842"/>
      <c r="CRU1" s="842"/>
      <c r="CRV1" s="842"/>
      <c r="CRW1" s="842"/>
      <c r="CRX1" s="842"/>
      <c r="CRY1" s="842"/>
      <c r="CRZ1" s="842"/>
      <c r="CSA1" s="842"/>
      <c r="CSB1" s="842"/>
      <c r="CSC1" s="842"/>
      <c r="CSD1" s="842"/>
      <c r="CSE1" s="842"/>
      <c r="CSF1" s="842"/>
      <c r="CSG1" s="842"/>
      <c r="CSH1" s="842"/>
      <c r="CSI1" s="842"/>
      <c r="CSJ1" s="842"/>
      <c r="CSK1" s="842"/>
      <c r="CSL1" s="842"/>
      <c r="CSM1" s="842"/>
      <c r="CSN1" s="842"/>
      <c r="CSO1" s="842"/>
      <c r="CSP1" s="842"/>
      <c r="CSQ1" s="842"/>
      <c r="CSR1" s="842"/>
      <c r="CSS1" s="842"/>
      <c r="CST1" s="842"/>
      <c r="CSU1" s="842"/>
      <c r="CSV1" s="842"/>
      <c r="CSW1" s="842"/>
      <c r="CSX1" s="842"/>
      <c r="CSY1" s="842"/>
      <c r="CSZ1" s="842"/>
      <c r="CTA1" s="842"/>
      <c r="CTB1" s="842"/>
      <c r="CTC1" s="842"/>
      <c r="CTD1" s="842"/>
      <c r="CTE1" s="842"/>
      <c r="CTF1" s="842"/>
      <c r="CTG1" s="842"/>
      <c r="CTH1" s="842"/>
      <c r="CTI1" s="842"/>
      <c r="CTJ1" s="842"/>
      <c r="CTK1" s="842"/>
      <c r="CTL1" s="842"/>
      <c r="CTM1" s="842"/>
      <c r="CTN1" s="842"/>
      <c r="CTO1" s="842"/>
      <c r="CTP1" s="842"/>
      <c r="CTQ1" s="842"/>
      <c r="CTR1" s="842"/>
      <c r="CTS1" s="842"/>
      <c r="CTT1" s="842"/>
      <c r="CTU1" s="842"/>
      <c r="CTV1" s="842"/>
      <c r="CTW1" s="842"/>
      <c r="CTX1" s="842"/>
      <c r="CTY1" s="842"/>
      <c r="CTZ1" s="842"/>
      <c r="CUA1" s="842"/>
      <c r="CUB1" s="842"/>
      <c r="CUC1" s="842"/>
      <c r="CUD1" s="842"/>
      <c r="CUE1" s="842"/>
      <c r="CUF1" s="842"/>
      <c r="CUG1" s="842"/>
      <c r="CUH1" s="842"/>
      <c r="CUI1" s="842"/>
      <c r="CUJ1" s="842"/>
      <c r="CUK1" s="842"/>
      <c r="CUL1" s="842"/>
      <c r="CUM1" s="842"/>
      <c r="CUN1" s="842"/>
      <c r="CUO1" s="842"/>
      <c r="CUP1" s="842"/>
      <c r="CUQ1" s="842"/>
      <c r="CUR1" s="842"/>
      <c r="CUS1" s="842"/>
      <c r="CUT1" s="842"/>
      <c r="CUU1" s="842"/>
      <c r="CUV1" s="842"/>
      <c r="CUW1" s="842"/>
      <c r="CUX1" s="842"/>
      <c r="CUY1" s="842"/>
      <c r="CUZ1" s="842"/>
      <c r="CVA1" s="842"/>
      <c r="CVB1" s="842"/>
      <c r="CVC1" s="842"/>
      <c r="CVD1" s="842"/>
      <c r="CVE1" s="842"/>
      <c r="CVF1" s="842"/>
      <c r="CVG1" s="842"/>
      <c r="CVH1" s="842"/>
      <c r="CVI1" s="842"/>
      <c r="CVJ1" s="842"/>
      <c r="CVK1" s="842"/>
      <c r="CVL1" s="842"/>
      <c r="CVM1" s="842"/>
      <c r="CVN1" s="842"/>
      <c r="CVO1" s="842"/>
      <c r="CVP1" s="842"/>
      <c r="CVQ1" s="842"/>
      <c r="CVR1" s="842"/>
      <c r="CVS1" s="842"/>
      <c r="CVT1" s="842"/>
      <c r="CVU1" s="842"/>
      <c r="CVV1" s="842"/>
      <c r="CVW1" s="842"/>
      <c r="CVX1" s="842"/>
      <c r="CVY1" s="842"/>
      <c r="CVZ1" s="842"/>
      <c r="CWA1" s="842"/>
      <c r="CWB1" s="842"/>
      <c r="CWC1" s="842"/>
      <c r="CWD1" s="842"/>
      <c r="CWE1" s="842"/>
      <c r="CWF1" s="842"/>
      <c r="CWG1" s="842"/>
      <c r="CWH1" s="842"/>
      <c r="CWI1" s="842"/>
      <c r="CWJ1" s="842"/>
      <c r="CWK1" s="842"/>
      <c r="CWL1" s="842"/>
      <c r="CWM1" s="842"/>
      <c r="CWN1" s="842"/>
      <c r="CWO1" s="842"/>
      <c r="CWP1" s="842"/>
      <c r="CWQ1" s="842"/>
      <c r="CWR1" s="842"/>
      <c r="CWS1" s="842"/>
      <c r="CWT1" s="842"/>
      <c r="CWU1" s="842"/>
      <c r="CWV1" s="842"/>
      <c r="CWW1" s="842"/>
      <c r="CWX1" s="842"/>
      <c r="CWY1" s="842"/>
      <c r="CWZ1" s="842"/>
      <c r="CXA1" s="842"/>
      <c r="CXB1" s="842"/>
      <c r="CXC1" s="842"/>
      <c r="CXD1" s="842"/>
      <c r="CXE1" s="842"/>
      <c r="CXF1" s="842"/>
      <c r="CXG1" s="842"/>
      <c r="CXH1" s="842"/>
      <c r="CXI1" s="842"/>
      <c r="CXJ1" s="842"/>
      <c r="CXK1" s="842"/>
      <c r="CXL1" s="842"/>
      <c r="CXM1" s="842"/>
      <c r="CXN1" s="842"/>
      <c r="CXO1" s="842"/>
      <c r="CXP1" s="842"/>
      <c r="CXQ1" s="842"/>
      <c r="CXR1" s="842"/>
      <c r="CXS1" s="842"/>
      <c r="CXT1" s="842"/>
      <c r="CXU1" s="842"/>
      <c r="CXV1" s="842"/>
      <c r="CXW1" s="842"/>
      <c r="CXX1" s="842"/>
      <c r="CXY1" s="842"/>
      <c r="CXZ1" s="842"/>
      <c r="CYA1" s="842"/>
      <c r="CYB1" s="842"/>
      <c r="CYC1" s="842"/>
      <c r="CYD1" s="842"/>
      <c r="CYE1" s="842"/>
      <c r="CYF1" s="842"/>
      <c r="CYG1" s="842"/>
      <c r="CYH1" s="842"/>
      <c r="CYI1" s="842"/>
      <c r="CYJ1" s="842"/>
      <c r="CYK1" s="842"/>
      <c r="CYL1" s="842"/>
      <c r="CYM1" s="842"/>
      <c r="CYN1" s="842"/>
      <c r="CYO1" s="842"/>
      <c r="CYP1" s="842"/>
      <c r="CYQ1" s="842"/>
      <c r="CYR1" s="842"/>
      <c r="CYS1" s="842"/>
      <c r="CYT1" s="842"/>
      <c r="CYU1" s="842"/>
      <c r="CYV1" s="842"/>
      <c r="CYW1" s="842"/>
      <c r="CYX1" s="842"/>
      <c r="CYY1" s="842"/>
      <c r="CYZ1" s="842"/>
      <c r="CZA1" s="842"/>
      <c r="CZB1" s="842"/>
      <c r="CZC1" s="842"/>
      <c r="CZD1" s="842"/>
      <c r="CZE1" s="842"/>
      <c r="CZF1" s="842"/>
      <c r="CZG1" s="842"/>
      <c r="CZH1" s="842"/>
      <c r="CZI1" s="842"/>
      <c r="CZJ1" s="842"/>
      <c r="CZK1" s="842"/>
      <c r="CZL1" s="842"/>
      <c r="CZM1" s="842"/>
      <c r="CZN1" s="842"/>
      <c r="CZO1" s="842"/>
      <c r="CZP1" s="842"/>
      <c r="CZQ1" s="842"/>
      <c r="CZR1" s="842"/>
      <c r="CZS1" s="842"/>
      <c r="CZT1" s="842"/>
      <c r="CZU1" s="842"/>
      <c r="CZV1" s="842"/>
      <c r="CZW1" s="842"/>
      <c r="CZX1" s="842"/>
      <c r="CZY1" s="842"/>
      <c r="CZZ1" s="842"/>
      <c r="DAA1" s="842"/>
      <c r="DAB1" s="842"/>
      <c r="DAC1" s="842"/>
      <c r="DAD1" s="842"/>
      <c r="DAE1" s="842"/>
      <c r="DAF1" s="842"/>
      <c r="DAG1" s="842"/>
      <c r="DAH1" s="842"/>
      <c r="DAI1" s="842"/>
      <c r="DAJ1" s="842"/>
      <c r="DAK1" s="842"/>
      <c r="DAL1" s="842"/>
      <c r="DAM1" s="842"/>
      <c r="DAN1" s="842"/>
      <c r="DAO1" s="842"/>
      <c r="DAP1" s="842"/>
      <c r="DAQ1" s="842"/>
      <c r="DAR1" s="842"/>
      <c r="DAS1" s="842"/>
      <c r="DAT1" s="842"/>
      <c r="DAU1" s="842"/>
      <c r="DAV1" s="842"/>
      <c r="DAW1" s="842"/>
      <c r="DAX1" s="842"/>
      <c r="DAY1" s="842"/>
      <c r="DAZ1" s="842"/>
      <c r="DBA1" s="842"/>
      <c r="DBB1" s="842"/>
      <c r="DBC1" s="842"/>
      <c r="DBD1" s="842"/>
      <c r="DBE1" s="842"/>
      <c r="DBF1" s="842"/>
      <c r="DBG1" s="842"/>
      <c r="DBH1" s="842"/>
      <c r="DBI1" s="842"/>
      <c r="DBJ1" s="842"/>
      <c r="DBK1" s="842"/>
      <c r="DBL1" s="842"/>
      <c r="DBM1" s="842"/>
      <c r="DBN1" s="842"/>
      <c r="DBO1" s="842"/>
      <c r="DBP1" s="842"/>
      <c r="DBQ1" s="842"/>
      <c r="DBR1" s="842"/>
      <c r="DBS1" s="842"/>
      <c r="DBT1" s="842"/>
      <c r="DBU1" s="842"/>
      <c r="DBV1" s="842"/>
      <c r="DBW1" s="842"/>
      <c r="DBX1" s="842"/>
      <c r="DBY1" s="842"/>
      <c r="DBZ1" s="842"/>
      <c r="DCA1" s="842"/>
      <c r="DCB1" s="842"/>
      <c r="DCC1" s="842"/>
      <c r="DCD1" s="842"/>
      <c r="DCE1" s="842"/>
      <c r="DCF1" s="842"/>
      <c r="DCG1" s="842"/>
      <c r="DCH1" s="842"/>
      <c r="DCI1" s="842"/>
      <c r="DCJ1" s="842"/>
      <c r="DCK1" s="842"/>
      <c r="DCL1" s="842"/>
      <c r="DCM1" s="842"/>
      <c r="DCN1" s="842"/>
      <c r="DCO1" s="842"/>
      <c r="DCP1" s="842"/>
      <c r="DCQ1" s="842"/>
      <c r="DCR1" s="842"/>
      <c r="DCS1" s="842"/>
      <c r="DCT1" s="842"/>
      <c r="DCU1" s="842"/>
      <c r="DCV1" s="842"/>
      <c r="DCW1" s="842"/>
      <c r="DCX1" s="842"/>
      <c r="DCY1" s="842"/>
      <c r="DCZ1" s="842"/>
      <c r="DDA1" s="842"/>
      <c r="DDB1" s="842"/>
      <c r="DDC1" s="842"/>
      <c r="DDD1" s="842"/>
      <c r="DDE1" s="842"/>
      <c r="DDF1" s="842"/>
      <c r="DDG1" s="842"/>
      <c r="DDH1" s="842"/>
      <c r="DDI1" s="842"/>
      <c r="DDJ1" s="842"/>
      <c r="DDK1" s="842"/>
      <c r="DDL1" s="842"/>
      <c r="DDM1" s="842"/>
      <c r="DDN1" s="842"/>
      <c r="DDO1" s="842"/>
      <c r="DDP1" s="842"/>
      <c r="DDQ1" s="842"/>
      <c r="DDR1" s="842"/>
      <c r="DDS1" s="842"/>
      <c r="DDT1" s="842"/>
      <c r="DDU1" s="842"/>
      <c r="DDV1" s="842"/>
      <c r="DDW1" s="842"/>
      <c r="DDX1" s="842"/>
      <c r="DDY1" s="842"/>
      <c r="DDZ1" s="842"/>
      <c r="DEA1" s="842"/>
      <c r="DEB1" s="842"/>
      <c r="DEC1" s="842"/>
      <c r="DED1" s="842"/>
      <c r="DEE1" s="842"/>
      <c r="DEF1" s="842"/>
      <c r="DEG1" s="842"/>
      <c r="DEH1" s="842"/>
      <c r="DEI1" s="842"/>
      <c r="DEJ1" s="842"/>
      <c r="DEK1" s="842"/>
      <c r="DEL1" s="842"/>
      <c r="DEM1" s="842"/>
      <c r="DEN1" s="842"/>
      <c r="DEO1" s="842"/>
      <c r="DEP1" s="842"/>
      <c r="DEQ1" s="842"/>
      <c r="DER1" s="842"/>
      <c r="DES1" s="842"/>
      <c r="DET1" s="842"/>
      <c r="DEU1" s="842"/>
      <c r="DEV1" s="842"/>
      <c r="DEW1" s="842"/>
      <c r="DEX1" s="842"/>
      <c r="DEY1" s="842"/>
      <c r="DEZ1" s="842"/>
      <c r="DFA1" s="842"/>
      <c r="DFB1" s="842"/>
      <c r="DFC1" s="842"/>
      <c r="DFD1" s="842"/>
      <c r="DFE1" s="842"/>
      <c r="DFF1" s="842"/>
      <c r="DFG1" s="842"/>
      <c r="DFH1" s="842"/>
      <c r="DFI1" s="842"/>
      <c r="DFJ1" s="842"/>
      <c r="DFK1" s="842"/>
      <c r="DFL1" s="842"/>
      <c r="DFM1" s="842"/>
      <c r="DFN1" s="842"/>
      <c r="DFO1" s="842"/>
      <c r="DFP1" s="842"/>
      <c r="DFQ1" s="842"/>
      <c r="DFR1" s="842"/>
      <c r="DFS1" s="842"/>
      <c r="DFT1" s="842"/>
      <c r="DFU1" s="842"/>
      <c r="DFV1" s="842"/>
      <c r="DFW1" s="842"/>
      <c r="DFX1" s="842"/>
      <c r="DFY1" s="842"/>
      <c r="DFZ1" s="842"/>
      <c r="DGA1" s="842"/>
      <c r="DGB1" s="842"/>
      <c r="DGC1" s="842"/>
      <c r="DGD1" s="842"/>
      <c r="DGE1" s="842"/>
      <c r="DGF1" s="842"/>
      <c r="DGG1" s="842"/>
      <c r="DGH1" s="842"/>
      <c r="DGI1" s="842"/>
      <c r="DGJ1" s="842"/>
      <c r="DGK1" s="842"/>
      <c r="DGL1" s="842"/>
      <c r="DGM1" s="842"/>
      <c r="DGN1" s="842"/>
      <c r="DGO1" s="842"/>
      <c r="DGP1" s="842"/>
      <c r="DGQ1" s="842"/>
      <c r="DGR1" s="842"/>
      <c r="DGS1" s="842"/>
      <c r="DGT1" s="842"/>
      <c r="DGU1" s="842"/>
      <c r="DGV1" s="842"/>
      <c r="DGW1" s="842"/>
      <c r="DGX1" s="842"/>
      <c r="DGY1" s="842"/>
      <c r="DGZ1" s="842"/>
      <c r="DHA1" s="842"/>
      <c r="DHB1" s="842"/>
      <c r="DHC1" s="842"/>
      <c r="DHD1" s="842"/>
      <c r="DHE1" s="842"/>
      <c r="DHF1" s="842"/>
      <c r="DHG1" s="842"/>
      <c r="DHH1" s="842"/>
      <c r="DHI1" s="842"/>
      <c r="DHJ1" s="842"/>
      <c r="DHK1" s="842"/>
      <c r="DHL1" s="842"/>
      <c r="DHM1" s="842"/>
      <c r="DHN1" s="842"/>
      <c r="DHO1" s="842"/>
      <c r="DHP1" s="842"/>
      <c r="DHQ1" s="842"/>
      <c r="DHR1" s="842"/>
      <c r="DHS1" s="842"/>
      <c r="DHT1" s="842"/>
      <c r="DHU1" s="842"/>
      <c r="DHV1" s="842"/>
      <c r="DHW1" s="842"/>
      <c r="DHX1" s="842"/>
      <c r="DHY1" s="842"/>
      <c r="DHZ1" s="842"/>
      <c r="DIA1" s="842"/>
      <c r="DIB1" s="842"/>
      <c r="DIC1" s="842"/>
      <c r="DID1" s="842"/>
      <c r="DIE1" s="842"/>
      <c r="DIF1" s="842"/>
      <c r="DIG1" s="842"/>
      <c r="DIH1" s="842"/>
      <c r="DII1" s="842"/>
      <c r="DIJ1" s="842"/>
      <c r="DIK1" s="842"/>
      <c r="DIL1" s="842"/>
      <c r="DIM1" s="842"/>
      <c r="DIN1" s="842"/>
      <c r="DIO1" s="842"/>
      <c r="DIP1" s="842"/>
      <c r="DIQ1" s="842"/>
      <c r="DIR1" s="842"/>
      <c r="DIS1" s="842"/>
      <c r="DIT1" s="842"/>
      <c r="DIU1" s="842"/>
      <c r="DIV1" s="842"/>
      <c r="DIW1" s="842"/>
      <c r="DIX1" s="842"/>
      <c r="DIY1" s="842"/>
      <c r="DIZ1" s="842"/>
      <c r="DJA1" s="842"/>
      <c r="DJB1" s="842"/>
      <c r="DJC1" s="842"/>
      <c r="DJD1" s="842"/>
      <c r="DJE1" s="842"/>
      <c r="DJF1" s="842"/>
      <c r="DJG1" s="842"/>
      <c r="DJH1" s="842"/>
      <c r="DJI1" s="842"/>
      <c r="DJJ1" s="842"/>
      <c r="DJK1" s="842"/>
      <c r="DJL1" s="842"/>
      <c r="DJM1" s="842"/>
      <c r="DJN1" s="842"/>
      <c r="DJO1" s="842"/>
      <c r="DJP1" s="842"/>
      <c r="DJQ1" s="842"/>
      <c r="DJR1" s="842"/>
      <c r="DJS1" s="842"/>
      <c r="DJT1" s="842"/>
      <c r="DJU1" s="842"/>
      <c r="DJV1" s="842"/>
      <c r="DJW1" s="842"/>
      <c r="DJX1" s="842"/>
      <c r="DJY1" s="842"/>
      <c r="DJZ1" s="842"/>
      <c r="DKA1" s="842"/>
      <c r="DKB1" s="842"/>
      <c r="DKC1" s="842"/>
      <c r="DKD1" s="842"/>
      <c r="DKE1" s="842"/>
      <c r="DKF1" s="842"/>
      <c r="DKG1" s="842"/>
      <c r="DKH1" s="842"/>
      <c r="DKI1" s="842"/>
      <c r="DKJ1" s="842"/>
      <c r="DKK1" s="842"/>
      <c r="DKL1" s="842"/>
      <c r="DKM1" s="842"/>
      <c r="DKN1" s="842"/>
      <c r="DKO1" s="842"/>
      <c r="DKP1" s="842"/>
      <c r="DKQ1" s="842"/>
      <c r="DKR1" s="842"/>
      <c r="DKS1" s="842"/>
      <c r="DKT1" s="842"/>
      <c r="DKU1" s="842"/>
      <c r="DKV1" s="842"/>
      <c r="DKW1" s="842"/>
      <c r="DKX1" s="842"/>
      <c r="DKY1" s="842"/>
      <c r="DKZ1" s="842"/>
      <c r="DLA1" s="842"/>
      <c r="DLB1" s="842"/>
      <c r="DLC1" s="842"/>
      <c r="DLD1" s="842"/>
      <c r="DLE1" s="842"/>
      <c r="DLF1" s="842"/>
      <c r="DLG1" s="842"/>
      <c r="DLH1" s="842"/>
      <c r="DLI1" s="842"/>
      <c r="DLJ1" s="842"/>
      <c r="DLK1" s="842"/>
      <c r="DLL1" s="842"/>
      <c r="DLM1" s="842"/>
      <c r="DLN1" s="842"/>
      <c r="DLO1" s="842"/>
      <c r="DLP1" s="842"/>
      <c r="DLQ1" s="842"/>
      <c r="DLR1" s="842"/>
      <c r="DLS1" s="842"/>
      <c r="DLT1" s="842"/>
      <c r="DLU1" s="842"/>
      <c r="DLV1" s="842"/>
      <c r="DLW1" s="842"/>
      <c r="DLX1" s="842"/>
      <c r="DLY1" s="842"/>
      <c r="DLZ1" s="842"/>
      <c r="DMA1" s="842"/>
      <c r="DMB1" s="842"/>
      <c r="DMC1" s="842"/>
      <c r="DMD1" s="842"/>
      <c r="DME1" s="842"/>
      <c r="DMF1" s="842"/>
      <c r="DMG1" s="842"/>
      <c r="DMH1" s="842"/>
      <c r="DMI1" s="842"/>
      <c r="DMJ1" s="842"/>
      <c r="DMK1" s="842"/>
      <c r="DML1" s="842"/>
      <c r="DMM1" s="842"/>
      <c r="DMN1" s="842"/>
      <c r="DMO1" s="842"/>
      <c r="DMP1" s="842"/>
      <c r="DMQ1" s="842"/>
      <c r="DMR1" s="842"/>
      <c r="DMS1" s="842"/>
      <c r="DMT1" s="842"/>
      <c r="DMU1" s="842"/>
      <c r="DMV1" s="842"/>
      <c r="DMW1" s="842"/>
      <c r="DMX1" s="842"/>
      <c r="DMY1" s="842"/>
      <c r="DMZ1" s="842"/>
      <c r="DNA1" s="842"/>
      <c r="DNB1" s="842"/>
      <c r="DNC1" s="842"/>
      <c r="DND1" s="842"/>
      <c r="DNE1" s="842"/>
      <c r="DNF1" s="842"/>
      <c r="DNG1" s="842"/>
      <c r="DNH1" s="842"/>
      <c r="DNI1" s="842"/>
      <c r="DNJ1" s="842"/>
      <c r="DNK1" s="842"/>
      <c r="DNL1" s="842"/>
      <c r="DNM1" s="842"/>
      <c r="DNN1" s="842"/>
      <c r="DNO1" s="842"/>
      <c r="DNP1" s="842"/>
      <c r="DNQ1" s="842"/>
      <c r="DNR1" s="842"/>
      <c r="DNS1" s="842"/>
      <c r="DNT1" s="842"/>
      <c r="DNU1" s="842"/>
      <c r="DNV1" s="842"/>
      <c r="DNW1" s="842"/>
      <c r="DNX1" s="842"/>
      <c r="DNY1" s="842"/>
      <c r="DNZ1" s="842"/>
      <c r="DOA1" s="842"/>
      <c r="DOB1" s="842"/>
      <c r="DOC1" s="842"/>
      <c r="DOD1" s="842"/>
      <c r="DOE1" s="842"/>
      <c r="DOF1" s="842"/>
      <c r="DOG1" s="842"/>
      <c r="DOH1" s="842"/>
      <c r="DOI1" s="842"/>
      <c r="DOJ1" s="842"/>
      <c r="DOK1" s="842"/>
      <c r="DOL1" s="842"/>
      <c r="DOM1" s="842"/>
      <c r="DON1" s="842"/>
      <c r="DOO1" s="842"/>
      <c r="DOP1" s="842"/>
      <c r="DOQ1" s="842"/>
      <c r="DOR1" s="842"/>
      <c r="DOS1" s="842"/>
      <c r="DOT1" s="842"/>
      <c r="DOU1" s="842"/>
      <c r="DOV1" s="842"/>
      <c r="DOW1" s="842"/>
      <c r="DOX1" s="842"/>
      <c r="DOY1" s="842"/>
      <c r="DOZ1" s="842"/>
      <c r="DPA1" s="842"/>
      <c r="DPB1" s="842"/>
      <c r="DPC1" s="842"/>
      <c r="DPD1" s="842"/>
      <c r="DPE1" s="842"/>
      <c r="DPF1" s="842"/>
      <c r="DPG1" s="842"/>
      <c r="DPH1" s="842"/>
      <c r="DPI1" s="842"/>
      <c r="DPJ1" s="842"/>
      <c r="DPK1" s="842"/>
      <c r="DPL1" s="842"/>
      <c r="DPM1" s="842"/>
      <c r="DPN1" s="842"/>
      <c r="DPO1" s="842"/>
      <c r="DPP1" s="842"/>
      <c r="DPQ1" s="842"/>
      <c r="DPR1" s="842"/>
      <c r="DPS1" s="842"/>
      <c r="DPT1" s="842"/>
      <c r="DPU1" s="842"/>
      <c r="DPV1" s="842"/>
      <c r="DPW1" s="842"/>
      <c r="DPX1" s="842"/>
      <c r="DPY1" s="842"/>
      <c r="DPZ1" s="842"/>
      <c r="DQA1" s="842"/>
      <c r="DQB1" s="842"/>
      <c r="DQC1" s="842"/>
      <c r="DQD1" s="842"/>
      <c r="DQE1" s="842"/>
      <c r="DQF1" s="842"/>
      <c r="DQG1" s="842"/>
      <c r="DQH1" s="842"/>
      <c r="DQI1" s="842"/>
      <c r="DQJ1" s="842"/>
      <c r="DQK1" s="842"/>
      <c r="DQL1" s="842"/>
      <c r="DQM1" s="842"/>
      <c r="DQN1" s="842"/>
      <c r="DQO1" s="842"/>
      <c r="DQP1" s="842"/>
      <c r="DQQ1" s="842"/>
      <c r="DQR1" s="842"/>
      <c r="DQS1" s="842"/>
      <c r="DQT1" s="842"/>
      <c r="DQU1" s="842"/>
      <c r="DQV1" s="842"/>
      <c r="DQW1" s="842"/>
      <c r="DQX1" s="842"/>
      <c r="DQY1" s="842"/>
      <c r="DQZ1" s="842"/>
      <c r="DRA1" s="842"/>
      <c r="DRB1" s="842"/>
      <c r="DRC1" s="842"/>
      <c r="DRD1" s="842"/>
      <c r="DRE1" s="842"/>
      <c r="DRF1" s="842"/>
      <c r="DRG1" s="842"/>
      <c r="DRH1" s="842"/>
      <c r="DRI1" s="842"/>
      <c r="DRJ1" s="842"/>
      <c r="DRK1" s="842"/>
      <c r="DRL1" s="842"/>
      <c r="DRM1" s="842"/>
      <c r="DRN1" s="842"/>
      <c r="DRO1" s="842"/>
      <c r="DRP1" s="842"/>
      <c r="DRQ1" s="842"/>
      <c r="DRR1" s="842"/>
      <c r="DRS1" s="842"/>
      <c r="DRT1" s="842"/>
      <c r="DRU1" s="842"/>
      <c r="DRV1" s="842"/>
      <c r="DRW1" s="842"/>
      <c r="DRX1" s="842"/>
      <c r="DRY1" s="842"/>
      <c r="DRZ1" s="842"/>
      <c r="DSA1" s="842"/>
      <c r="DSB1" s="842"/>
      <c r="DSC1" s="842"/>
      <c r="DSD1" s="842"/>
      <c r="DSE1" s="842"/>
      <c r="DSF1" s="842"/>
      <c r="DSG1" s="842"/>
      <c r="DSH1" s="842"/>
      <c r="DSI1" s="842"/>
      <c r="DSJ1" s="842"/>
      <c r="DSK1" s="842"/>
      <c r="DSL1" s="842"/>
      <c r="DSM1" s="842"/>
      <c r="DSN1" s="842"/>
      <c r="DSO1" s="842"/>
      <c r="DSP1" s="842"/>
      <c r="DSQ1" s="842"/>
      <c r="DSR1" s="842"/>
      <c r="DSS1" s="842"/>
      <c r="DST1" s="842"/>
      <c r="DSU1" s="842"/>
      <c r="DSV1" s="842"/>
      <c r="DSW1" s="842"/>
      <c r="DSX1" s="842"/>
      <c r="DSY1" s="842"/>
      <c r="DSZ1" s="842"/>
      <c r="DTA1" s="842"/>
      <c r="DTB1" s="842"/>
      <c r="DTC1" s="842"/>
      <c r="DTD1" s="842"/>
      <c r="DTE1" s="842"/>
      <c r="DTF1" s="842"/>
      <c r="DTG1" s="842"/>
      <c r="DTH1" s="842"/>
      <c r="DTI1" s="842"/>
      <c r="DTJ1" s="842"/>
      <c r="DTK1" s="842"/>
      <c r="DTL1" s="842"/>
      <c r="DTM1" s="842"/>
      <c r="DTN1" s="842"/>
      <c r="DTO1" s="842"/>
      <c r="DTP1" s="842"/>
      <c r="DTQ1" s="842"/>
      <c r="DTR1" s="842"/>
      <c r="DTS1" s="842"/>
      <c r="DTT1" s="842"/>
      <c r="DTU1" s="842"/>
      <c r="DTV1" s="842"/>
      <c r="DTW1" s="842"/>
      <c r="DTX1" s="842"/>
      <c r="DTY1" s="842"/>
      <c r="DTZ1" s="842"/>
      <c r="DUA1" s="842"/>
      <c r="DUB1" s="842"/>
      <c r="DUC1" s="842"/>
      <c r="DUD1" s="842"/>
      <c r="DUE1" s="842"/>
      <c r="DUF1" s="842"/>
      <c r="DUG1" s="842"/>
      <c r="DUH1" s="842"/>
      <c r="DUI1" s="842"/>
      <c r="DUJ1" s="842"/>
      <c r="DUK1" s="842"/>
      <c r="DUL1" s="842"/>
      <c r="DUM1" s="842"/>
      <c r="DUN1" s="842"/>
      <c r="DUO1" s="842"/>
      <c r="DUP1" s="842"/>
      <c r="DUQ1" s="842"/>
      <c r="DUR1" s="842"/>
      <c r="DUS1" s="842"/>
      <c r="DUT1" s="842"/>
      <c r="DUU1" s="842"/>
      <c r="DUV1" s="842"/>
      <c r="DUW1" s="842"/>
      <c r="DUX1" s="842"/>
      <c r="DUY1" s="842"/>
      <c r="DUZ1" s="842"/>
      <c r="DVA1" s="842"/>
      <c r="DVB1" s="842"/>
      <c r="DVC1" s="842"/>
      <c r="DVD1" s="842"/>
      <c r="DVE1" s="842"/>
      <c r="DVF1" s="842"/>
      <c r="DVG1" s="842"/>
      <c r="DVH1" s="842"/>
      <c r="DVI1" s="842"/>
      <c r="DVJ1" s="842"/>
      <c r="DVK1" s="842"/>
      <c r="DVL1" s="842"/>
      <c r="DVM1" s="842"/>
      <c r="DVN1" s="842"/>
      <c r="DVO1" s="842"/>
      <c r="DVP1" s="842"/>
      <c r="DVQ1" s="842"/>
      <c r="DVR1" s="842"/>
      <c r="DVS1" s="842"/>
      <c r="DVT1" s="842"/>
      <c r="DVU1" s="842"/>
      <c r="DVV1" s="842"/>
      <c r="DVW1" s="842"/>
      <c r="DVX1" s="842"/>
      <c r="DVY1" s="842"/>
      <c r="DVZ1" s="842"/>
      <c r="DWA1" s="842"/>
      <c r="DWB1" s="842"/>
      <c r="DWC1" s="842"/>
      <c r="DWD1" s="842"/>
      <c r="DWE1" s="842"/>
      <c r="DWF1" s="842"/>
      <c r="DWG1" s="842"/>
      <c r="DWH1" s="842"/>
      <c r="DWI1" s="842"/>
      <c r="DWJ1" s="842"/>
      <c r="DWK1" s="842"/>
      <c r="DWL1" s="842"/>
      <c r="DWM1" s="842"/>
      <c r="DWN1" s="842"/>
      <c r="DWO1" s="842"/>
      <c r="DWP1" s="842"/>
      <c r="DWQ1" s="842"/>
      <c r="DWR1" s="842"/>
      <c r="DWS1" s="842"/>
      <c r="DWT1" s="842"/>
      <c r="DWU1" s="842"/>
      <c r="DWV1" s="842"/>
      <c r="DWW1" s="842"/>
      <c r="DWX1" s="842"/>
      <c r="DWY1" s="842"/>
      <c r="DWZ1" s="842"/>
      <c r="DXA1" s="842"/>
      <c r="DXB1" s="842"/>
      <c r="DXC1" s="842"/>
      <c r="DXD1" s="842"/>
      <c r="DXE1" s="842"/>
      <c r="DXF1" s="842"/>
      <c r="DXG1" s="842"/>
      <c r="DXH1" s="842"/>
      <c r="DXI1" s="842"/>
      <c r="DXJ1" s="842"/>
      <c r="DXK1" s="842"/>
      <c r="DXL1" s="842"/>
      <c r="DXM1" s="842"/>
      <c r="DXN1" s="842"/>
      <c r="DXO1" s="842"/>
      <c r="DXP1" s="842"/>
      <c r="DXQ1" s="842"/>
      <c r="DXR1" s="842"/>
      <c r="DXS1" s="842"/>
      <c r="DXT1" s="842"/>
      <c r="DXU1" s="842"/>
      <c r="DXV1" s="842"/>
      <c r="DXW1" s="842"/>
      <c r="DXX1" s="842"/>
      <c r="DXY1" s="842"/>
      <c r="DXZ1" s="842"/>
      <c r="DYA1" s="842"/>
      <c r="DYB1" s="842"/>
      <c r="DYC1" s="842"/>
      <c r="DYD1" s="842"/>
      <c r="DYE1" s="842"/>
      <c r="DYF1" s="842"/>
      <c r="DYG1" s="842"/>
      <c r="DYH1" s="842"/>
      <c r="DYI1" s="842"/>
      <c r="DYJ1" s="842"/>
      <c r="DYK1" s="842"/>
      <c r="DYL1" s="842"/>
      <c r="DYM1" s="842"/>
      <c r="DYN1" s="842"/>
      <c r="DYO1" s="842"/>
      <c r="DYP1" s="842"/>
      <c r="DYQ1" s="842"/>
      <c r="DYR1" s="842"/>
      <c r="DYS1" s="842"/>
      <c r="DYT1" s="842"/>
      <c r="DYU1" s="842"/>
      <c r="DYV1" s="842"/>
      <c r="DYW1" s="842"/>
      <c r="DYX1" s="842"/>
      <c r="DYY1" s="842"/>
      <c r="DYZ1" s="842"/>
      <c r="DZA1" s="842"/>
      <c r="DZB1" s="842"/>
      <c r="DZC1" s="842"/>
      <c r="DZD1" s="842"/>
      <c r="DZE1" s="842"/>
      <c r="DZF1" s="842"/>
      <c r="DZG1" s="842"/>
      <c r="DZH1" s="842"/>
      <c r="DZI1" s="842"/>
      <c r="DZJ1" s="842"/>
      <c r="DZK1" s="842"/>
      <c r="DZL1" s="842"/>
      <c r="DZM1" s="842"/>
      <c r="DZN1" s="842"/>
      <c r="DZO1" s="842"/>
      <c r="DZP1" s="842"/>
      <c r="DZQ1" s="842"/>
      <c r="DZR1" s="842"/>
      <c r="DZS1" s="842"/>
      <c r="DZT1" s="842"/>
      <c r="DZU1" s="842"/>
      <c r="DZV1" s="842"/>
      <c r="DZW1" s="842"/>
      <c r="DZX1" s="842"/>
      <c r="DZY1" s="842"/>
      <c r="DZZ1" s="842"/>
      <c r="EAA1" s="842"/>
      <c r="EAB1" s="842"/>
      <c r="EAC1" s="842"/>
      <c r="EAD1" s="842"/>
      <c r="EAE1" s="842"/>
      <c r="EAF1" s="842"/>
      <c r="EAG1" s="842"/>
      <c r="EAH1" s="842"/>
      <c r="EAI1" s="842"/>
      <c r="EAJ1" s="842"/>
      <c r="EAK1" s="842"/>
      <c r="EAL1" s="842"/>
      <c r="EAM1" s="842"/>
      <c r="EAN1" s="842"/>
      <c r="EAO1" s="842"/>
      <c r="EAP1" s="842"/>
      <c r="EAQ1" s="842"/>
      <c r="EAR1" s="842"/>
      <c r="EAS1" s="842"/>
      <c r="EAT1" s="842"/>
      <c r="EAU1" s="842"/>
      <c r="EAV1" s="842"/>
      <c r="EAW1" s="842"/>
      <c r="EAX1" s="842"/>
      <c r="EAY1" s="842"/>
      <c r="EAZ1" s="842"/>
      <c r="EBA1" s="842"/>
      <c r="EBB1" s="842"/>
      <c r="EBC1" s="842"/>
      <c r="EBD1" s="842"/>
      <c r="EBE1" s="842"/>
      <c r="EBF1" s="842"/>
      <c r="EBG1" s="842"/>
      <c r="EBH1" s="842"/>
      <c r="EBI1" s="842"/>
      <c r="EBJ1" s="842"/>
      <c r="EBK1" s="842"/>
      <c r="EBL1" s="842"/>
      <c r="EBM1" s="842"/>
      <c r="EBN1" s="842"/>
      <c r="EBO1" s="842"/>
      <c r="EBP1" s="842"/>
      <c r="EBQ1" s="842"/>
      <c r="EBR1" s="842"/>
      <c r="EBS1" s="842"/>
      <c r="EBT1" s="842"/>
      <c r="EBU1" s="842"/>
      <c r="EBV1" s="842"/>
      <c r="EBW1" s="842"/>
      <c r="EBX1" s="842"/>
      <c r="EBY1" s="842"/>
      <c r="EBZ1" s="842"/>
      <c r="ECA1" s="842"/>
      <c r="ECB1" s="842"/>
      <c r="ECC1" s="842"/>
      <c r="ECD1" s="842"/>
      <c r="ECE1" s="842"/>
      <c r="ECF1" s="842"/>
      <c r="ECG1" s="842"/>
      <c r="ECH1" s="842"/>
      <c r="ECI1" s="842"/>
      <c r="ECJ1" s="842"/>
      <c r="ECK1" s="842"/>
      <c r="ECL1" s="842"/>
      <c r="ECM1" s="842"/>
      <c r="ECN1" s="842"/>
      <c r="ECO1" s="842"/>
      <c r="ECP1" s="842"/>
      <c r="ECQ1" s="842"/>
      <c r="ECR1" s="842"/>
      <c r="ECS1" s="842"/>
      <c r="ECT1" s="842"/>
      <c r="ECU1" s="842"/>
      <c r="ECV1" s="842"/>
      <c r="ECW1" s="842"/>
      <c r="ECX1" s="842"/>
      <c r="ECY1" s="842"/>
      <c r="ECZ1" s="842"/>
      <c r="EDA1" s="842"/>
      <c r="EDB1" s="842"/>
      <c r="EDC1" s="842"/>
      <c r="EDD1" s="842"/>
      <c r="EDE1" s="842"/>
      <c r="EDF1" s="842"/>
      <c r="EDG1" s="842"/>
      <c r="EDH1" s="842"/>
      <c r="EDI1" s="842"/>
      <c r="EDJ1" s="842"/>
      <c r="EDK1" s="842"/>
      <c r="EDL1" s="842"/>
      <c r="EDM1" s="842"/>
      <c r="EDN1" s="842"/>
      <c r="EDO1" s="842"/>
      <c r="EDP1" s="842"/>
      <c r="EDQ1" s="842"/>
      <c r="EDR1" s="842"/>
      <c r="EDS1" s="842"/>
      <c r="EDT1" s="842"/>
      <c r="EDU1" s="842"/>
      <c r="EDV1" s="842"/>
      <c r="EDW1" s="842"/>
      <c r="EDX1" s="842"/>
      <c r="EDY1" s="842"/>
      <c r="EDZ1" s="842"/>
      <c r="EEA1" s="842"/>
      <c r="EEB1" s="842"/>
      <c r="EEC1" s="842"/>
      <c r="EED1" s="842"/>
      <c r="EEE1" s="842"/>
      <c r="EEF1" s="842"/>
      <c r="EEG1" s="842"/>
      <c r="EEH1" s="842"/>
      <c r="EEI1" s="842"/>
      <c r="EEJ1" s="842"/>
      <c r="EEK1" s="842"/>
      <c r="EEL1" s="842"/>
      <c r="EEM1" s="842"/>
      <c r="EEN1" s="842"/>
      <c r="EEO1" s="842"/>
      <c r="EEP1" s="842"/>
      <c r="EEQ1" s="842"/>
      <c r="EER1" s="842"/>
      <c r="EES1" s="842"/>
      <c r="EET1" s="842"/>
      <c r="EEU1" s="842"/>
      <c r="EEV1" s="842"/>
      <c r="EEW1" s="842"/>
      <c r="EEX1" s="842"/>
      <c r="EEY1" s="842"/>
      <c r="EEZ1" s="842"/>
      <c r="EFA1" s="842"/>
      <c r="EFB1" s="842"/>
      <c r="EFC1" s="842"/>
      <c r="EFD1" s="842"/>
      <c r="EFE1" s="842"/>
      <c r="EFF1" s="842"/>
      <c r="EFG1" s="842"/>
      <c r="EFH1" s="842"/>
      <c r="EFI1" s="842"/>
      <c r="EFJ1" s="842"/>
      <c r="EFK1" s="842"/>
      <c r="EFL1" s="842"/>
      <c r="EFM1" s="842"/>
      <c r="EFN1" s="842"/>
      <c r="EFO1" s="842"/>
      <c r="EFP1" s="842"/>
      <c r="EFQ1" s="842"/>
      <c r="EFR1" s="842"/>
      <c r="EFS1" s="842"/>
      <c r="EFT1" s="842"/>
      <c r="EFU1" s="842"/>
      <c r="EFV1" s="842"/>
      <c r="EFW1" s="842"/>
      <c r="EFX1" s="842"/>
      <c r="EFY1" s="842"/>
      <c r="EFZ1" s="842"/>
      <c r="EGA1" s="842"/>
      <c r="EGB1" s="842"/>
      <c r="EGC1" s="842"/>
      <c r="EGD1" s="842"/>
      <c r="EGE1" s="842"/>
      <c r="EGF1" s="842"/>
      <c r="EGG1" s="842"/>
      <c r="EGH1" s="842"/>
      <c r="EGI1" s="842"/>
      <c r="EGJ1" s="842"/>
      <c r="EGK1" s="842"/>
      <c r="EGL1" s="842"/>
      <c r="EGM1" s="842"/>
      <c r="EGN1" s="842"/>
      <c r="EGO1" s="842"/>
      <c r="EGP1" s="842"/>
      <c r="EGQ1" s="842"/>
      <c r="EGR1" s="842"/>
      <c r="EGS1" s="842"/>
      <c r="EGT1" s="842"/>
      <c r="EGU1" s="842"/>
      <c r="EGV1" s="842"/>
      <c r="EGW1" s="842"/>
      <c r="EGX1" s="842"/>
      <c r="EGY1" s="842"/>
      <c r="EGZ1" s="842"/>
      <c r="EHA1" s="842"/>
      <c r="EHB1" s="842"/>
      <c r="EHC1" s="842"/>
      <c r="EHD1" s="842"/>
      <c r="EHE1" s="842"/>
      <c r="EHF1" s="842"/>
      <c r="EHG1" s="842"/>
      <c r="EHH1" s="842"/>
      <c r="EHI1" s="842"/>
      <c r="EHJ1" s="842"/>
      <c r="EHK1" s="842"/>
      <c r="EHL1" s="842"/>
      <c r="EHM1" s="842"/>
      <c r="EHN1" s="842"/>
      <c r="EHO1" s="842"/>
      <c r="EHP1" s="842"/>
      <c r="EHQ1" s="842"/>
      <c r="EHR1" s="842"/>
      <c r="EHS1" s="842"/>
      <c r="EHT1" s="842"/>
      <c r="EHU1" s="842"/>
      <c r="EHV1" s="842"/>
      <c r="EHW1" s="842"/>
      <c r="EHX1" s="842"/>
      <c r="EHY1" s="842"/>
      <c r="EHZ1" s="842"/>
      <c r="EIA1" s="842"/>
      <c r="EIB1" s="842"/>
      <c r="EIC1" s="842"/>
      <c r="EID1" s="842"/>
      <c r="EIE1" s="842"/>
      <c r="EIF1" s="842"/>
      <c r="EIG1" s="842"/>
      <c r="EIH1" s="842"/>
      <c r="EII1" s="842"/>
      <c r="EIJ1" s="842"/>
      <c r="EIK1" s="842"/>
      <c r="EIL1" s="842"/>
      <c r="EIM1" s="842"/>
      <c r="EIN1" s="842"/>
      <c r="EIO1" s="842"/>
      <c r="EIP1" s="842"/>
      <c r="EIQ1" s="842"/>
      <c r="EIR1" s="842"/>
      <c r="EIS1" s="842"/>
      <c r="EIT1" s="842"/>
      <c r="EIU1" s="842"/>
      <c r="EIV1" s="842"/>
      <c r="EIW1" s="842"/>
      <c r="EIX1" s="842"/>
      <c r="EIY1" s="842"/>
      <c r="EIZ1" s="842"/>
      <c r="EJA1" s="842"/>
      <c r="EJB1" s="842"/>
      <c r="EJC1" s="842"/>
      <c r="EJD1" s="842"/>
      <c r="EJE1" s="842"/>
      <c r="EJF1" s="842"/>
      <c r="EJG1" s="842"/>
      <c r="EJH1" s="842"/>
      <c r="EJI1" s="842"/>
      <c r="EJJ1" s="842"/>
      <c r="EJK1" s="842"/>
      <c r="EJL1" s="842"/>
      <c r="EJM1" s="842"/>
      <c r="EJN1" s="842"/>
      <c r="EJO1" s="842"/>
      <c r="EJP1" s="842"/>
      <c r="EJQ1" s="842"/>
      <c r="EJR1" s="842"/>
      <c r="EJS1" s="842"/>
      <c r="EJT1" s="842"/>
      <c r="EJU1" s="842"/>
      <c r="EJV1" s="842"/>
      <c r="EJW1" s="842"/>
      <c r="EJX1" s="842"/>
      <c r="EJY1" s="842"/>
      <c r="EJZ1" s="842"/>
      <c r="EKA1" s="842"/>
      <c r="EKB1" s="842"/>
      <c r="EKC1" s="842"/>
      <c r="EKD1" s="842"/>
      <c r="EKE1" s="842"/>
      <c r="EKF1" s="842"/>
      <c r="EKG1" s="842"/>
      <c r="EKH1" s="842"/>
      <c r="EKI1" s="842"/>
      <c r="EKJ1" s="842"/>
      <c r="EKK1" s="842"/>
      <c r="EKL1" s="842"/>
      <c r="EKM1" s="842"/>
      <c r="EKN1" s="842"/>
      <c r="EKO1" s="842"/>
      <c r="EKP1" s="842"/>
      <c r="EKQ1" s="842"/>
      <c r="EKR1" s="842"/>
      <c r="EKS1" s="842"/>
      <c r="EKT1" s="842"/>
      <c r="EKU1" s="842"/>
      <c r="EKV1" s="842"/>
      <c r="EKW1" s="842"/>
      <c r="EKX1" s="842"/>
      <c r="EKY1" s="842"/>
      <c r="EKZ1" s="842"/>
      <c r="ELA1" s="842"/>
      <c r="ELB1" s="842"/>
      <c r="ELC1" s="842"/>
      <c r="ELD1" s="842"/>
      <c r="ELE1" s="842"/>
      <c r="ELF1" s="842"/>
      <c r="ELG1" s="842"/>
      <c r="ELH1" s="842"/>
      <c r="ELI1" s="842"/>
      <c r="ELJ1" s="842"/>
      <c r="ELK1" s="842"/>
      <c r="ELL1" s="842"/>
      <c r="ELM1" s="842"/>
      <c r="ELN1" s="842"/>
      <c r="ELO1" s="842"/>
      <c r="ELP1" s="842"/>
      <c r="ELQ1" s="842"/>
      <c r="ELR1" s="842"/>
      <c r="ELS1" s="842"/>
      <c r="ELT1" s="842"/>
      <c r="ELU1" s="842"/>
      <c r="ELV1" s="842"/>
      <c r="ELW1" s="842"/>
      <c r="ELX1" s="842"/>
      <c r="ELY1" s="842"/>
      <c r="ELZ1" s="842"/>
      <c r="EMA1" s="842"/>
      <c r="EMB1" s="842"/>
      <c r="EMC1" s="842"/>
      <c r="EMD1" s="842"/>
      <c r="EME1" s="842"/>
      <c r="EMF1" s="842"/>
      <c r="EMG1" s="842"/>
      <c r="EMH1" s="842"/>
      <c r="EMI1" s="842"/>
      <c r="EMJ1" s="842"/>
      <c r="EMK1" s="842"/>
      <c r="EML1" s="842"/>
      <c r="EMM1" s="842"/>
      <c r="EMN1" s="842"/>
      <c r="EMO1" s="842"/>
      <c r="EMP1" s="842"/>
      <c r="EMQ1" s="842"/>
      <c r="EMR1" s="842"/>
      <c r="EMS1" s="842"/>
      <c r="EMT1" s="842"/>
      <c r="EMU1" s="842"/>
      <c r="EMV1" s="842"/>
      <c r="EMW1" s="842"/>
      <c r="EMX1" s="842"/>
      <c r="EMY1" s="842"/>
      <c r="EMZ1" s="842"/>
      <c r="ENA1" s="842"/>
      <c r="ENB1" s="842"/>
      <c r="ENC1" s="842"/>
      <c r="END1" s="842"/>
      <c r="ENE1" s="842"/>
      <c r="ENF1" s="842"/>
      <c r="ENG1" s="842"/>
      <c r="ENH1" s="842"/>
      <c r="ENI1" s="842"/>
      <c r="ENJ1" s="842"/>
      <c r="ENK1" s="842"/>
      <c r="ENL1" s="842"/>
      <c r="ENM1" s="842"/>
      <c r="ENN1" s="842"/>
      <c r="ENO1" s="842"/>
      <c r="ENP1" s="842"/>
      <c r="ENQ1" s="842"/>
      <c r="ENR1" s="842"/>
      <c r="ENS1" s="842"/>
      <c r="ENT1" s="842"/>
      <c r="ENU1" s="842"/>
      <c r="ENV1" s="842"/>
      <c r="ENW1" s="842"/>
      <c r="ENX1" s="842"/>
      <c r="ENY1" s="842"/>
      <c r="ENZ1" s="842"/>
      <c r="EOA1" s="842"/>
      <c r="EOB1" s="842"/>
      <c r="EOC1" s="842"/>
      <c r="EOD1" s="842"/>
      <c r="EOE1" s="842"/>
      <c r="EOF1" s="842"/>
      <c r="EOG1" s="842"/>
      <c r="EOH1" s="842"/>
      <c r="EOI1" s="842"/>
      <c r="EOJ1" s="842"/>
      <c r="EOK1" s="842"/>
      <c r="EOL1" s="842"/>
      <c r="EOM1" s="842"/>
      <c r="EON1" s="842"/>
      <c r="EOO1" s="842"/>
      <c r="EOP1" s="842"/>
      <c r="EOQ1" s="842"/>
      <c r="EOR1" s="842"/>
      <c r="EOS1" s="842"/>
      <c r="EOT1" s="842"/>
      <c r="EOU1" s="842"/>
      <c r="EOV1" s="842"/>
      <c r="EOW1" s="842"/>
      <c r="EOX1" s="842"/>
      <c r="EOY1" s="842"/>
      <c r="EOZ1" s="842"/>
      <c r="EPA1" s="842"/>
      <c r="EPB1" s="842"/>
      <c r="EPC1" s="842"/>
      <c r="EPD1" s="842"/>
      <c r="EPE1" s="842"/>
      <c r="EPF1" s="842"/>
      <c r="EPG1" s="842"/>
      <c r="EPH1" s="842"/>
      <c r="EPI1" s="842"/>
      <c r="EPJ1" s="842"/>
      <c r="EPK1" s="842"/>
      <c r="EPL1" s="842"/>
      <c r="EPM1" s="842"/>
      <c r="EPN1" s="842"/>
      <c r="EPO1" s="842"/>
      <c r="EPP1" s="842"/>
      <c r="EPQ1" s="842"/>
      <c r="EPR1" s="842"/>
      <c r="EPS1" s="842"/>
      <c r="EPT1" s="842"/>
      <c r="EPU1" s="842"/>
      <c r="EPV1" s="842"/>
      <c r="EPW1" s="842"/>
      <c r="EPX1" s="842"/>
      <c r="EPY1" s="842"/>
      <c r="EPZ1" s="842"/>
      <c r="EQA1" s="842"/>
      <c r="EQB1" s="842"/>
      <c r="EQC1" s="842"/>
      <c r="EQD1" s="842"/>
      <c r="EQE1" s="842"/>
      <c r="EQF1" s="842"/>
      <c r="EQG1" s="842"/>
      <c r="EQH1" s="842"/>
      <c r="EQI1" s="842"/>
      <c r="EQJ1" s="842"/>
      <c r="EQK1" s="842"/>
      <c r="EQL1" s="842"/>
      <c r="EQM1" s="842"/>
      <c r="EQN1" s="842"/>
      <c r="EQO1" s="842"/>
      <c r="EQP1" s="842"/>
      <c r="EQQ1" s="842"/>
      <c r="EQR1" s="842"/>
      <c r="EQS1" s="842"/>
      <c r="EQT1" s="842"/>
      <c r="EQU1" s="842"/>
      <c r="EQV1" s="842"/>
      <c r="EQW1" s="842"/>
      <c r="EQX1" s="842"/>
      <c r="EQY1" s="842"/>
      <c r="EQZ1" s="842"/>
      <c r="ERA1" s="842"/>
      <c r="ERB1" s="842"/>
      <c r="ERC1" s="842"/>
      <c r="ERD1" s="842"/>
      <c r="ERE1" s="842"/>
      <c r="ERF1" s="842"/>
      <c r="ERG1" s="842"/>
      <c r="ERH1" s="842"/>
      <c r="ERI1" s="842"/>
      <c r="ERJ1" s="842"/>
      <c r="ERK1" s="842"/>
      <c r="ERL1" s="842"/>
      <c r="ERM1" s="842"/>
      <c r="ERN1" s="842"/>
      <c r="ERO1" s="842"/>
      <c r="ERP1" s="842"/>
      <c r="ERQ1" s="842"/>
      <c r="ERR1" s="842"/>
      <c r="ERS1" s="842"/>
      <c r="ERT1" s="842"/>
      <c r="ERU1" s="842"/>
      <c r="ERV1" s="842"/>
      <c r="ERW1" s="842"/>
      <c r="ERX1" s="842"/>
      <c r="ERY1" s="842"/>
      <c r="ERZ1" s="842"/>
      <c r="ESA1" s="842"/>
      <c r="ESB1" s="842"/>
      <c r="ESC1" s="842"/>
      <c r="ESD1" s="842"/>
      <c r="ESE1" s="842"/>
      <c r="ESF1" s="842"/>
      <c r="ESG1" s="842"/>
      <c r="ESH1" s="842"/>
      <c r="ESI1" s="842"/>
      <c r="ESJ1" s="842"/>
      <c r="ESK1" s="842"/>
      <c r="ESL1" s="842"/>
      <c r="ESM1" s="842"/>
      <c r="ESN1" s="842"/>
      <c r="ESO1" s="842"/>
      <c r="ESP1" s="842"/>
      <c r="ESQ1" s="842"/>
      <c r="ESR1" s="842"/>
      <c r="ESS1" s="842"/>
      <c r="EST1" s="842"/>
      <c r="ESU1" s="842"/>
      <c r="ESV1" s="842"/>
      <c r="ESW1" s="842"/>
      <c r="ESX1" s="842"/>
      <c r="ESY1" s="842"/>
      <c r="ESZ1" s="842"/>
      <c r="ETA1" s="842"/>
      <c r="ETB1" s="842"/>
      <c r="ETC1" s="842"/>
      <c r="ETD1" s="842"/>
      <c r="ETE1" s="842"/>
      <c r="ETF1" s="842"/>
      <c r="ETG1" s="842"/>
      <c r="ETH1" s="842"/>
      <c r="ETI1" s="842"/>
      <c r="ETJ1" s="842"/>
      <c r="ETK1" s="842"/>
      <c r="ETL1" s="842"/>
      <c r="ETM1" s="842"/>
      <c r="ETN1" s="842"/>
      <c r="ETO1" s="842"/>
      <c r="ETP1" s="842"/>
      <c r="ETQ1" s="842"/>
      <c r="ETR1" s="842"/>
      <c r="ETS1" s="842"/>
      <c r="ETT1" s="842"/>
      <c r="ETU1" s="842"/>
      <c r="ETV1" s="842"/>
      <c r="ETW1" s="842"/>
      <c r="ETX1" s="842"/>
      <c r="ETY1" s="842"/>
      <c r="ETZ1" s="842"/>
      <c r="EUA1" s="842"/>
      <c r="EUB1" s="842"/>
      <c r="EUC1" s="842"/>
      <c r="EUD1" s="842"/>
      <c r="EUE1" s="842"/>
      <c r="EUF1" s="842"/>
      <c r="EUG1" s="842"/>
      <c r="EUH1" s="842"/>
      <c r="EUI1" s="842"/>
      <c r="EUJ1" s="842"/>
      <c r="EUK1" s="842"/>
      <c r="EUL1" s="842"/>
      <c r="EUM1" s="842"/>
      <c r="EUN1" s="842"/>
      <c r="EUO1" s="842"/>
      <c r="EUP1" s="842"/>
      <c r="EUQ1" s="842"/>
      <c r="EUR1" s="842"/>
      <c r="EUS1" s="842"/>
      <c r="EUT1" s="842"/>
      <c r="EUU1" s="842"/>
      <c r="EUV1" s="842"/>
      <c r="EUW1" s="842"/>
      <c r="EUX1" s="842"/>
      <c r="EUY1" s="842"/>
      <c r="EUZ1" s="842"/>
      <c r="EVA1" s="842"/>
      <c r="EVB1" s="842"/>
      <c r="EVC1" s="842"/>
      <c r="EVD1" s="842"/>
      <c r="EVE1" s="842"/>
      <c r="EVF1" s="842"/>
      <c r="EVG1" s="842"/>
      <c r="EVH1" s="842"/>
      <c r="EVI1" s="842"/>
      <c r="EVJ1" s="842"/>
      <c r="EVK1" s="842"/>
      <c r="EVL1" s="842"/>
      <c r="EVM1" s="842"/>
      <c r="EVN1" s="842"/>
      <c r="EVO1" s="842"/>
      <c r="EVP1" s="842"/>
      <c r="EVQ1" s="842"/>
      <c r="EVR1" s="842"/>
      <c r="EVS1" s="842"/>
      <c r="EVT1" s="842"/>
      <c r="EVU1" s="842"/>
      <c r="EVV1" s="842"/>
      <c r="EVW1" s="842"/>
      <c r="EVX1" s="842"/>
      <c r="EVY1" s="842"/>
      <c r="EVZ1" s="842"/>
      <c r="EWA1" s="842"/>
      <c r="EWB1" s="842"/>
      <c r="EWC1" s="842"/>
      <c r="EWD1" s="842"/>
      <c r="EWE1" s="842"/>
      <c r="EWF1" s="842"/>
      <c r="EWG1" s="842"/>
      <c r="EWH1" s="842"/>
      <c r="EWI1" s="842"/>
      <c r="EWJ1" s="842"/>
      <c r="EWK1" s="842"/>
      <c r="EWL1" s="842"/>
      <c r="EWM1" s="842"/>
      <c r="EWN1" s="842"/>
      <c r="EWO1" s="842"/>
      <c r="EWP1" s="842"/>
      <c r="EWQ1" s="842"/>
      <c r="EWR1" s="842"/>
      <c r="EWS1" s="842"/>
      <c r="EWT1" s="842"/>
      <c r="EWU1" s="842"/>
      <c r="EWV1" s="842"/>
      <c r="EWW1" s="842"/>
      <c r="EWX1" s="842"/>
      <c r="EWY1" s="842"/>
      <c r="EWZ1" s="842"/>
      <c r="EXA1" s="842"/>
      <c r="EXB1" s="842"/>
      <c r="EXC1" s="842"/>
      <c r="EXD1" s="842"/>
      <c r="EXE1" s="842"/>
      <c r="EXF1" s="842"/>
      <c r="EXG1" s="842"/>
      <c r="EXH1" s="842"/>
      <c r="EXI1" s="842"/>
      <c r="EXJ1" s="842"/>
      <c r="EXK1" s="842"/>
      <c r="EXL1" s="842"/>
      <c r="EXM1" s="842"/>
      <c r="EXN1" s="842"/>
      <c r="EXO1" s="842"/>
      <c r="EXP1" s="842"/>
      <c r="EXQ1" s="842"/>
      <c r="EXR1" s="842"/>
      <c r="EXS1" s="842"/>
      <c r="EXT1" s="842"/>
      <c r="EXU1" s="842"/>
      <c r="EXV1" s="842"/>
      <c r="EXW1" s="842"/>
      <c r="EXX1" s="842"/>
      <c r="EXY1" s="842"/>
      <c r="EXZ1" s="842"/>
      <c r="EYA1" s="842"/>
      <c r="EYB1" s="842"/>
      <c r="EYC1" s="842"/>
      <c r="EYD1" s="842"/>
      <c r="EYE1" s="842"/>
      <c r="EYF1" s="842"/>
      <c r="EYG1" s="842"/>
      <c r="EYH1" s="842"/>
      <c r="EYI1" s="842"/>
      <c r="EYJ1" s="842"/>
      <c r="EYK1" s="842"/>
      <c r="EYL1" s="842"/>
      <c r="EYM1" s="842"/>
      <c r="EYN1" s="842"/>
      <c r="EYO1" s="842"/>
      <c r="EYP1" s="842"/>
      <c r="EYQ1" s="842"/>
      <c r="EYR1" s="842"/>
      <c r="EYS1" s="842"/>
      <c r="EYT1" s="842"/>
      <c r="EYU1" s="842"/>
      <c r="EYV1" s="842"/>
      <c r="EYW1" s="842"/>
      <c r="EYX1" s="842"/>
      <c r="EYY1" s="842"/>
      <c r="EYZ1" s="842"/>
      <c r="EZA1" s="842"/>
      <c r="EZB1" s="842"/>
      <c r="EZC1" s="842"/>
      <c r="EZD1" s="842"/>
      <c r="EZE1" s="842"/>
      <c r="EZF1" s="842"/>
      <c r="EZG1" s="842"/>
      <c r="EZH1" s="842"/>
      <c r="EZI1" s="842"/>
      <c r="EZJ1" s="842"/>
      <c r="EZK1" s="842"/>
      <c r="EZL1" s="842"/>
      <c r="EZM1" s="842"/>
      <c r="EZN1" s="842"/>
      <c r="EZO1" s="842"/>
      <c r="EZP1" s="842"/>
      <c r="EZQ1" s="842"/>
      <c r="EZR1" s="842"/>
      <c r="EZS1" s="842"/>
      <c r="EZT1" s="842"/>
      <c r="EZU1" s="842"/>
      <c r="EZV1" s="842"/>
      <c r="EZW1" s="842"/>
      <c r="EZX1" s="842"/>
      <c r="EZY1" s="842"/>
      <c r="EZZ1" s="842"/>
      <c r="FAA1" s="842"/>
      <c r="FAB1" s="842"/>
      <c r="FAC1" s="842"/>
      <c r="FAD1" s="842"/>
      <c r="FAE1" s="842"/>
      <c r="FAF1" s="842"/>
      <c r="FAG1" s="842"/>
      <c r="FAH1" s="842"/>
      <c r="FAI1" s="842"/>
      <c r="FAJ1" s="842"/>
      <c r="FAK1" s="842"/>
      <c r="FAL1" s="842"/>
      <c r="FAM1" s="842"/>
      <c r="FAN1" s="842"/>
      <c r="FAO1" s="842"/>
      <c r="FAP1" s="842"/>
      <c r="FAQ1" s="842"/>
      <c r="FAR1" s="842"/>
      <c r="FAS1" s="842"/>
      <c r="FAT1" s="842"/>
      <c r="FAU1" s="842"/>
      <c r="FAV1" s="842"/>
      <c r="FAW1" s="842"/>
      <c r="FAX1" s="842"/>
      <c r="FAY1" s="842"/>
      <c r="FAZ1" s="842"/>
      <c r="FBA1" s="842"/>
      <c r="FBB1" s="842"/>
      <c r="FBC1" s="842"/>
      <c r="FBD1" s="842"/>
      <c r="FBE1" s="842"/>
      <c r="FBF1" s="842"/>
      <c r="FBG1" s="842"/>
      <c r="FBH1" s="842"/>
      <c r="FBI1" s="842"/>
      <c r="FBJ1" s="842"/>
      <c r="FBK1" s="842"/>
      <c r="FBL1" s="842"/>
      <c r="FBM1" s="842"/>
      <c r="FBN1" s="842"/>
      <c r="FBO1" s="842"/>
      <c r="FBP1" s="842"/>
      <c r="FBQ1" s="842"/>
      <c r="FBR1" s="842"/>
      <c r="FBS1" s="842"/>
      <c r="FBT1" s="842"/>
      <c r="FBU1" s="842"/>
      <c r="FBV1" s="842"/>
      <c r="FBW1" s="842"/>
      <c r="FBX1" s="842"/>
      <c r="FBY1" s="842"/>
      <c r="FBZ1" s="842"/>
      <c r="FCA1" s="842"/>
      <c r="FCB1" s="842"/>
      <c r="FCC1" s="842"/>
      <c r="FCD1" s="842"/>
      <c r="FCE1" s="842"/>
      <c r="FCF1" s="842"/>
      <c r="FCG1" s="842"/>
      <c r="FCH1" s="842"/>
      <c r="FCI1" s="842"/>
      <c r="FCJ1" s="842"/>
      <c r="FCK1" s="842"/>
      <c r="FCL1" s="842"/>
      <c r="FCM1" s="842"/>
      <c r="FCN1" s="842"/>
      <c r="FCO1" s="842"/>
      <c r="FCP1" s="842"/>
      <c r="FCQ1" s="842"/>
      <c r="FCR1" s="842"/>
      <c r="FCS1" s="842"/>
      <c r="FCT1" s="842"/>
      <c r="FCU1" s="842"/>
      <c r="FCV1" s="842"/>
      <c r="FCW1" s="842"/>
      <c r="FCX1" s="842"/>
      <c r="FCY1" s="842"/>
      <c r="FCZ1" s="842"/>
      <c r="FDA1" s="842"/>
      <c r="FDB1" s="842"/>
      <c r="FDC1" s="842"/>
      <c r="FDD1" s="842"/>
      <c r="FDE1" s="842"/>
      <c r="FDF1" s="842"/>
      <c r="FDG1" s="842"/>
      <c r="FDH1" s="842"/>
      <c r="FDI1" s="842"/>
      <c r="FDJ1" s="842"/>
      <c r="FDK1" s="842"/>
      <c r="FDL1" s="842"/>
      <c r="FDM1" s="842"/>
      <c r="FDN1" s="842"/>
      <c r="FDO1" s="842"/>
      <c r="FDP1" s="842"/>
      <c r="FDQ1" s="842"/>
      <c r="FDR1" s="842"/>
      <c r="FDS1" s="842"/>
      <c r="FDT1" s="842"/>
      <c r="FDU1" s="842"/>
      <c r="FDV1" s="842"/>
      <c r="FDW1" s="842"/>
      <c r="FDX1" s="842"/>
      <c r="FDY1" s="842"/>
      <c r="FDZ1" s="842"/>
      <c r="FEA1" s="842"/>
      <c r="FEB1" s="842"/>
      <c r="FEC1" s="842"/>
      <c r="FED1" s="842"/>
      <c r="FEE1" s="842"/>
      <c r="FEF1" s="842"/>
      <c r="FEG1" s="842"/>
      <c r="FEH1" s="842"/>
      <c r="FEI1" s="842"/>
      <c r="FEJ1" s="842"/>
      <c r="FEK1" s="842"/>
      <c r="FEL1" s="842"/>
      <c r="FEM1" s="842"/>
      <c r="FEN1" s="842"/>
      <c r="FEO1" s="842"/>
      <c r="FEP1" s="842"/>
      <c r="FEQ1" s="842"/>
      <c r="FER1" s="842"/>
      <c r="FES1" s="842"/>
      <c r="FET1" s="842"/>
      <c r="FEU1" s="842"/>
      <c r="FEV1" s="842"/>
      <c r="FEW1" s="842"/>
      <c r="FEX1" s="842"/>
      <c r="FEY1" s="842"/>
      <c r="FEZ1" s="842"/>
      <c r="FFA1" s="842"/>
      <c r="FFB1" s="842"/>
      <c r="FFC1" s="842"/>
      <c r="FFD1" s="842"/>
      <c r="FFE1" s="842"/>
      <c r="FFF1" s="842"/>
      <c r="FFG1" s="842"/>
      <c r="FFH1" s="842"/>
      <c r="FFI1" s="842"/>
      <c r="FFJ1" s="842"/>
      <c r="FFK1" s="842"/>
      <c r="FFL1" s="842"/>
      <c r="FFM1" s="842"/>
      <c r="FFN1" s="842"/>
      <c r="FFO1" s="842"/>
      <c r="FFP1" s="842"/>
      <c r="FFQ1" s="842"/>
      <c r="FFR1" s="842"/>
      <c r="FFS1" s="842"/>
      <c r="FFT1" s="842"/>
      <c r="FFU1" s="842"/>
      <c r="FFV1" s="842"/>
      <c r="FFW1" s="842"/>
      <c r="FFX1" s="842"/>
      <c r="FFY1" s="842"/>
      <c r="FFZ1" s="842"/>
      <c r="FGA1" s="842"/>
      <c r="FGB1" s="842"/>
      <c r="FGC1" s="842"/>
      <c r="FGD1" s="842"/>
      <c r="FGE1" s="842"/>
      <c r="FGF1" s="842"/>
      <c r="FGG1" s="842"/>
      <c r="FGH1" s="842"/>
      <c r="FGI1" s="842"/>
      <c r="FGJ1" s="842"/>
      <c r="FGK1" s="842"/>
      <c r="FGL1" s="842"/>
      <c r="FGM1" s="842"/>
      <c r="FGN1" s="842"/>
      <c r="FGO1" s="842"/>
      <c r="FGP1" s="842"/>
      <c r="FGQ1" s="842"/>
      <c r="FGR1" s="842"/>
      <c r="FGS1" s="842"/>
      <c r="FGT1" s="842"/>
      <c r="FGU1" s="842"/>
      <c r="FGV1" s="842"/>
      <c r="FGW1" s="842"/>
      <c r="FGX1" s="842"/>
      <c r="FGY1" s="842"/>
      <c r="FGZ1" s="842"/>
      <c r="FHA1" s="842"/>
      <c r="FHB1" s="842"/>
      <c r="FHC1" s="842"/>
      <c r="FHD1" s="842"/>
      <c r="FHE1" s="842"/>
      <c r="FHF1" s="842"/>
      <c r="FHG1" s="842"/>
      <c r="FHH1" s="842"/>
      <c r="FHI1" s="842"/>
      <c r="FHJ1" s="842"/>
      <c r="FHK1" s="842"/>
      <c r="FHL1" s="842"/>
      <c r="FHM1" s="842"/>
      <c r="FHN1" s="842"/>
      <c r="FHO1" s="842"/>
      <c r="FHP1" s="842"/>
      <c r="FHQ1" s="842"/>
      <c r="FHR1" s="842"/>
      <c r="FHS1" s="842"/>
      <c r="FHT1" s="842"/>
      <c r="FHU1" s="842"/>
      <c r="FHV1" s="842"/>
      <c r="FHW1" s="842"/>
      <c r="FHX1" s="842"/>
      <c r="FHY1" s="842"/>
      <c r="FHZ1" s="842"/>
      <c r="FIA1" s="842"/>
      <c r="FIB1" s="842"/>
      <c r="FIC1" s="842"/>
      <c r="FID1" s="842"/>
      <c r="FIE1" s="842"/>
      <c r="FIF1" s="842"/>
      <c r="FIG1" s="842"/>
      <c r="FIH1" s="842"/>
      <c r="FII1" s="842"/>
      <c r="FIJ1" s="842"/>
      <c r="FIK1" s="842"/>
      <c r="FIL1" s="842"/>
      <c r="FIM1" s="842"/>
      <c r="FIN1" s="842"/>
      <c r="FIO1" s="842"/>
      <c r="FIP1" s="842"/>
      <c r="FIQ1" s="842"/>
      <c r="FIR1" s="842"/>
      <c r="FIS1" s="842"/>
      <c r="FIT1" s="842"/>
      <c r="FIU1" s="842"/>
      <c r="FIV1" s="842"/>
      <c r="FIW1" s="842"/>
      <c r="FIX1" s="842"/>
      <c r="FIY1" s="842"/>
      <c r="FIZ1" s="842"/>
      <c r="FJA1" s="842"/>
      <c r="FJB1" s="842"/>
      <c r="FJC1" s="842"/>
      <c r="FJD1" s="842"/>
      <c r="FJE1" s="842"/>
      <c r="FJF1" s="842"/>
      <c r="FJG1" s="842"/>
      <c r="FJH1" s="842"/>
      <c r="FJI1" s="842"/>
      <c r="FJJ1" s="842"/>
      <c r="FJK1" s="842"/>
      <c r="FJL1" s="842"/>
      <c r="FJM1" s="842"/>
      <c r="FJN1" s="842"/>
      <c r="FJO1" s="842"/>
      <c r="FJP1" s="842"/>
      <c r="FJQ1" s="842"/>
      <c r="FJR1" s="842"/>
      <c r="FJS1" s="842"/>
      <c r="FJT1" s="842"/>
      <c r="FJU1" s="842"/>
      <c r="FJV1" s="842"/>
      <c r="FJW1" s="842"/>
      <c r="FJX1" s="842"/>
      <c r="FJY1" s="842"/>
      <c r="FJZ1" s="842"/>
      <c r="FKA1" s="842"/>
      <c r="FKB1" s="842"/>
      <c r="FKC1" s="842"/>
      <c r="FKD1" s="842"/>
      <c r="FKE1" s="842"/>
      <c r="FKF1" s="842"/>
      <c r="FKG1" s="842"/>
      <c r="FKH1" s="842"/>
      <c r="FKI1" s="842"/>
      <c r="FKJ1" s="842"/>
      <c r="FKK1" s="842"/>
      <c r="FKL1" s="842"/>
      <c r="FKM1" s="842"/>
      <c r="FKN1" s="842"/>
      <c r="FKO1" s="842"/>
      <c r="FKP1" s="842"/>
      <c r="FKQ1" s="842"/>
      <c r="FKR1" s="842"/>
      <c r="FKS1" s="842"/>
      <c r="FKT1" s="842"/>
      <c r="FKU1" s="842"/>
      <c r="FKV1" s="842"/>
      <c r="FKW1" s="842"/>
      <c r="FKX1" s="842"/>
      <c r="FKY1" s="842"/>
      <c r="FKZ1" s="842"/>
      <c r="FLA1" s="842"/>
      <c r="FLB1" s="842"/>
      <c r="FLC1" s="842"/>
      <c r="FLD1" s="842"/>
      <c r="FLE1" s="842"/>
      <c r="FLF1" s="842"/>
      <c r="FLG1" s="842"/>
      <c r="FLH1" s="842"/>
      <c r="FLI1" s="842"/>
      <c r="FLJ1" s="842"/>
      <c r="FLK1" s="842"/>
      <c r="FLL1" s="842"/>
      <c r="FLM1" s="842"/>
      <c r="FLN1" s="842"/>
      <c r="FLO1" s="842"/>
      <c r="FLP1" s="842"/>
      <c r="FLQ1" s="842"/>
      <c r="FLR1" s="842"/>
      <c r="FLS1" s="842"/>
      <c r="FLT1" s="842"/>
      <c r="FLU1" s="842"/>
      <c r="FLV1" s="842"/>
      <c r="FLW1" s="842"/>
      <c r="FLX1" s="842"/>
      <c r="FLY1" s="842"/>
      <c r="FLZ1" s="842"/>
      <c r="FMA1" s="842"/>
      <c r="FMB1" s="842"/>
      <c r="FMC1" s="842"/>
      <c r="FMD1" s="842"/>
      <c r="FME1" s="842"/>
      <c r="FMF1" s="842"/>
      <c r="FMG1" s="842"/>
      <c r="FMH1" s="842"/>
      <c r="FMI1" s="842"/>
      <c r="FMJ1" s="842"/>
      <c r="FMK1" s="842"/>
      <c r="FML1" s="842"/>
      <c r="FMM1" s="842"/>
      <c r="FMN1" s="842"/>
      <c r="FMO1" s="842"/>
      <c r="FMP1" s="842"/>
      <c r="FMQ1" s="842"/>
      <c r="FMR1" s="842"/>
      <c r="FMS1" s="842"/>
      <c r="FMT1" s="842"/>
      <c r="FMU1" s="842"/>
      <c r="FMV1" s="842"/>
      <c r="FMW1" s="842"/>
      <c r="FMX1" s="842"/>
      <c r="FMY1" s="842"/>
      <c r="FMZ1" s="842"/>
      <c r="FNA1" s="842"/>
      <c r="FNB1" s="842"/>
      <c r="FNC1" s="842"/>
      <c r="FND1" s="842"/>
      <c r="FNE1" s="842"/>
      <c r="FNF1" s="842"/>
      <c r="FNG1" s="842"/>
      <c r="FNH1" s="842"/>
      <c r="FNI1" s="842"/>
      <c r="FNJ1" s="842"/>
      <c r="FNK1" s="842"/>
      <c r="FNL1" s="842"/>
      <c r="FNM1" s="842"/>
      <c r="FNN1" s="842"/>
      <c r="FNO1" s="842"/>
      <c r="FNP1" s="842"/>
      <c r="FNQ1" s="842"/>
      <c r="FNR1" s="842"/>
      <c r="FNS1" s="842"/>
      <c r="FNT1" s="842"/>
      <c r="FNU1" s="842"/>
      <c r="FNV1" s="842"/>
      <c r="FNW1" s="842"/>
      <c r="FNX1" s="842"/>
      <c r="FNY1" s="842"/>
      <c r="FNZ1" s="842"/>
      <c r="FOA1" s="842"/>
      <c r="FOB1" s="842"/>
      <c r="FOC1" s="842"/>
      <c r="FOD1" s="842"/>
      <c r="FOE1" s="842"/>
      <c r="FOF1" s="842"/>
      <c r="FOG1" s="842"/>
      <c r="FOH1" s="842"/>
      <c r="FOI1" s="842"/>
      <c r="FOJ1" s="842"/>
      <c r="FOK1" s="842"/>
      <c r="FOL1" s="842"/>
      <c r="FOM1" s="842"/>
      <c r="FON1" s="842"/>
      <c r="FOO1" s="842"/>
      <c r="FOP1" s="842"/>
      <c r="FOQ1" s="842"/>
      <c r="FOR1" s="842"/>
      <c r="FOS1" s="842"/>
      <c r="FOT1" s="842"/>
      <c r="FOU1" s="842"/>
      <c r="FOV1" s="842"/>
      <c r="FOW1" s="842"/>
      <c r="FOX1" s="842"/>
      <c r="FOY1" s="842"/>
      <c r="FOZ1" s="842"/>
      <c r="FPA1" s="842"/>
      <c r="FPB1" s="842"/>
      <c r="FPC1" s="842"/>
      <c r="FPD1" s="842"/>
      <c r="FPE1" s="842"/>
      <c r="FPF1" s="842"/>
      <c r="FPG1" s="842"/>
      <c r="FPH1" s="842"/>
      <c r="FPI1" s="842"/>
      <c r="FPJ1" s="842"/>
      <c r="FPK1" s="842"/>
      <c r="FPL1" s="842"/>
      <c r="FPM1" s="842"/>
      <c r="FPN1" s="842"/>
      <c r="FPO1" s="842"/>
      <c r="FPP1" s="842"/>
      <c r="FPQ1" s="842"/>
      <c r="FPR1" s="842"/>
      <c r="FPS1" s="842"/>
      <c r="FPT1" s="842"/>
      <c r="FPU1" s="842"/>
      <c r="FPV1" s="842"/>
      <c r="FPW1" s="842"/>
      <c r="FPX1" s="842"/>
      <c r="FPY1" s="842"/>
      <c r="FPZ1" s="842"/>
      <c r="FQA1" s="842"/>
      <c r="FQB1" s="842"/>
      <c r="FQC1" s="842"/>
      <c r="FQD1" s="842"/>
      <c r="FQE1" s="842"/>
      <c r="FQF1" s="842"/>
      <c r="FQG1" s="842"/>
      <c r="FQH1" s="842"/>
      <c r="FQI1" s="842"/>
      <c r="FQJ1" s="842"/>
      <c r="FQK1" s="842"/>
      <c r="FQL1" s="842"/>
      <c r="FQM1" s="842"/>
      <c r="FQN1" s="842"/>
      <c r="FQO1" s="842"/>
      <c r="FQP1" s="842"/>
      <c r="FQQ1" s="842"/>
      <c r="FQR1" s="842"/>
      <c r="FQS1" s="842"/>
      <c r="FQT1" s="842"/>
      <c r="FQU1" s="842"/>
      <c r="FQV1" s="842"/>
      <c r="FQW1" s="842"/>
      <c r="FQX1" s="842"/>
      <c r="FQY1" s="842"/>
      <c r="FQZ1" s="842"/>
      <c r="FRA1" s="842"/>
      <c r="FRB1" s="842"/>
      <c r="FRC1" s="842"/>
      <c r="FRD1" s="842"/>
      <c r="FRE1" s="842"/>
      <c r="FRF1" s="842"/>
      <c r="FRG1" s="842"/>
      <c r="FRH1" s="842"/>
      <c r="FRI1" s="842"/>
      <c r="FRJ1" s="842"/>
      <c r="FRK1" s="842"/>
      <c r="FRL1" s="842"/>
      <c r="FRM1" s="842"/>
      <c r="FRN1" s="842"/>
      <c r="FRO1" s="842"/>
      <c r="FRP1" s="842"/>
      <c r="FRQ1" s="842"/>
      <c r="FRR1" s="842"/>
      <c r="FRS1" s="842"/>
      <c r="FRT1" s="842"/>
      <c r="FRU1" s="842"/>
      <c r="FRV1" s="842"/>
      <c r="FRW1" s="842"/>
      <c r="FRX1" s="842"/>
      <c r="FRY1" s="842"/>
      <c r="FRZ1" s="842"/>
      <c r="FSA1" s="842"/>
      <c r="FSB1" s="842"/>
      <c r="FSC1" s="842"/>
      <c r="FSD1" s="842"/>
      <c r="FSE1" s="842"/>
      <c r="FSF1" s="842"/>
      <c r="FSG1" s="842"/>
      <c r="FSH1" s="842"/>
      <c r="FSI1" s="842"/>
      <c r="FSJ1" s="842"/>
      <c r="FSK1" s="842"/>
      <c r="FSL1" s="842"/>
      <c r="FSM1" s="842"/>
      <c r="FSN1" s="842"/>
      <c r="FSO1" s="842"/>
      <c r="FSP1" s="842"/>
      <c r="FSQ1" s="842"/>
      <c r="FSR1" s="842"/>
      <c r="FSS1" s="842"/>
      <c r="FST1" s="842"/>
      <c r="FSU1" s="842"/>
      <c r="FSV1" s="842"/>
      <c r="FSW1" s="842"/>
      <c r="FSX1" s="842"/>
      <c r="FSY1" s="842"/>
      <c r="FSZ1" s="842"/>
      <c r="FTA1" s="842"/>
      <c r="FTB1" s="842"/>
      <c r="FTC1" s="842"/>
      <c r="FTD1" s="842"/>
      <c r="FTE1" s="842"/>
      <c r="FTF1" s="842"/>
      <c r="FTG1" s="842"/>
      <c r="FTH1" s="842"/>
      <c r="FTI1" s="842"/>
      <c r="FTJ1" s="842"/>
      <c r="FTK1" s="842"/>
      <c r="FTL1" s="842"/>
      <c r="FTM1" s="842"/>
      <c r="FTN1" s="842"/>
      <c r="FTO1" s="842"/>
      <c r="FTP1" s="842"/>
      <c r="FTQ1" s="842"/>
      <c r="FTR1" s="842"/>
      <c r="FTS1" s="842"/>
      <c r="FTT1" s="842"/>
      <c r="FTU1" s="842"/>
      <c r="FTV1" s="842"/>
      <c r="FTW1" s="842"/>
      <c r="FTX1" s="842"/>
      <c r="FTY1" s="842"/>
      <c r="FTZ1" s="842"/>
      <c r="FUA1" s="842"/>
      <c r="FUB1" s="842"/>
      <c r="FUC1" s="842"/>
      <c r="FUD1" s="842"/>
      <c r="FUE1" s="842"/>
      <c r="FUF1" s="842"/>
      <c r="FUG1" s="842"/>
      <c r="FUH1" s="842"/>
      <c r="FUI1" s="842"/>
      <c r="FUJ1" s="842"/>
      <c r="FUK1" s="842"/>
      <c r="FUL1" s="842"/>
      <c r="FUM1" s="842"/>
      <c r="FUN1" s="842"/>
      <c r="FUO1" s="842"/>
      <c r="FUP1" s="842"/>
      <c r="FUQ1" s="842"/>
      <c r="FUR1" s="842"/>
      <c r="FUS1" s="842"/>
      <c r="FUT1" s="842"/>
      <c r="FUU1" s="842"/>
      <c r="FUV1" s="842"/>
      <c r="FUW1" s="842"/>
      <c r="FUX1" s="842"/>
      <c r="FUY1" s="842"/>
      <c r="FUZ1" s="842"/>
      <c r="FVA1" s="842"/>
      <c r="FVB1" s="842"/>
      <c r="FVC1" s="842"/>
      <c r="FVD1" s="842"/>
      <c r="FVE1" s="842"/>
      <c r="FVF1" s="842"/>
      <c r="FVG1" s="842"/>
      <c r="FVH1" s="842"/>
      <c r="FVI1" s="842"/>
      <c r="FVJ1" s="842"/>
      <c r="FVK1" s="842"/>
      <c r="FVL1" s="842"/>
      <c r="FVM1" s="842"/>
      <c r="FVN1" s="842"/>
      <c r="FVO1" s="842"/>
      <c r="FVP1" s="842"/>
      <c r="FVQ1" s="842"/>
      <c r="FVR1" s="842"/>
      <c r="FVS1" s="842"/>
      <c r="FVT1" s="842"/>
      <c r="FVU1" s="842"/>
      <c r="FVV1" s="842"/>
      <c r="FVW1" s="842"/>
      <c r="FVX1" s="842"/>
      <c r="FVY1" s="842"/>
      <c r="FVZ1" s="842"/>
      <c r="FWA1" s="842"/>
      <c r="FWB1" s="842"/>
      <c r="FWC1" s="842"/>
      <c r="FWD1" s="842"/>
      <c r="FWE1" s="842"/>
      <c r="FWF1" s="842"/>
      <c r="FWG1" s="842"/>
      <c r="FWH1" s="842"/>
      <c r="FWI1" s="842"/>
      <c r="FWJ1" s="842"/>
      <c r="FWK1" s="842"/>
      <c r="FWL1" s="842"/>
      <c r="FWM1" s="842"/>
      <c r="FWN1" s="842"/>
      <c r="FWO1" s="842"/>
      <c r="FWP1" s="842"/>
      <c r="FWQ1" s="842"/>
      <c r="FWR1" s="842"/>
      <c r="FWS1" s="842"/>
      <c r="FWT1" s="842"/>
      <c r="FWU1" s="842"/>
      <c r="FWV1" s="842"/>
      <c r="FWW1" s="842"/>
      <c r="FWX1" s="842"/>
      <c r="FWY1" s="842"/>
      <c r="FWZ1" s="842"/>
      <c r="FXA1" s="842"/>
      <c r="FXB1" s="842"/>
      <c r="FXC1" s="842"/>
      <c r="FXD1" s="842"/>
      <c r="FXE1" s="842"/>
      <c r="FXF1" s="842"/>
      <c r="FXG1" s="842"/>
      <c r="FXH1" s="842"/>
      <c r="FXI1" s="842"/>
      <c r="FXJ1" s="842"/>
      <c r="FXK1" s="842"/>
      <c r="FXL1" s="842"/>
      <c r="FXM1" s="842"/>
      <c r="FXN1" s="842"/>
      <c r="FXO1" s="842"/>
      <c r="FXP1" s="842"/>
      <c r="FXQ1" s="842"/>
      <c r="FXR1" s="842"/>
      <c r="FXS1" s="842"/>
      <c r="FXT1" s="842"/>
      <c r="FXU1" s="842"/>
      <c r="FXV1" s="842"/>
      <c r="FXW1" s="842"/>
      <c r="FXX1" s="842"/>
      <c r="FXY1" s="842"/>
      <c r="FXZ1" s="842"/>
      <c r="FYA1" s="842"/>
      <c r="FYB1" s="842"/>
      <c r="FYC1" s="842"/>
      <c r="FYD1" s="842"/>
      <c r="FYE1" s="842"/>
      <c r="FYF1" s="842"/>
      <c r="FYG1" s="842"/>
      <c r="FYH1" s="842"/>
      <c r="FYI1" s="842"/>
      <c r="FYJ1" s="842"/>
      <c r="FYK1" s="842"/>
      <c r="FYL1" s="842"/>
      <c r="FYM1" s="842"/>
      <c r="FYN1" s="842"/>
      <c r="FYO1" s="842"/>
      <c r="FYP1" s="842"/>
      <c r="FYQ1" s="842"/>
      <c r="FYR1" s="842"/>
      <c r="FYS1" s="842"/>
      <c r="FYT1" s="842"/>
      <c r="FYU1" s="842"/>
      <c r="FYV1" s="842"/>
      <c r="FYW1" s="842"/>
      <c r="FYX1" s="842"/>
      <c r="FYY1" s="842"/>
      <c r="FYZ1" s="842"/>
      <c r="FZA1" s="842"/>
      <c r="FZB1" s="842"/>
      <c r="FZC1" s="842"/>
      <c r="FZD1" s="842"/>
      <c r="FZE1" s="842"/>
      <c r="FZF1" s="842"/>
      <c r="FZG1" s="842"/>
      <c r="FZH1" s="842"/>
      <c r="FZI1" s="842"/>
      <c r="FZJ1" s="842"/>
      <c r="FZK1" s="842"/>
      <c r="FZL1" s="842"/>
      <c r="FZM1" s="842"/>
      <c r="FZN1" s="842"/>
      <c r="FZO1" s="842"/>
      <c r="FZP1" s="842"/>
      <c r="FZQ1" s="842"/>
      <c r="FZR1" s="842"/>
      <c r="FZS1" s="842"/>
      <c r="FZT1" s="842"/>
      <c r="FZU1" s="842"/>
      <c r="FZV1" s="842"/>
      <c r="FZW1" s="842"/>
      <c r="FZX1" s="842"/>
      <c r="FZY1" s="842"/>
      <c r="FZZ1" s="842"/>
      <c r="GAA1" s="842"/>
      <c r="GAB1" s="842"/>
      <c r="GAC1" s="842"/>
      <c r="GAD1" s="842"/>
      <c r="GAE1" s="842"/>
      <c r="GAF1" s="842"/>
      <c r="GAG1" s="842"/>
      <c r="GAH1" s="842"/>
      <c r="GAI1" s="842"/>
      <c r="GAJ1" s="842"/>
      <c r="GAK1" s="842"/>
      <c r="GAL1" s="842"/>
      <c r="GAM1" s="842"/>
      <c r="GAN1" s="842"/>
      <c r="GAO1" s="842"/>
      <c r="GAP1" s="842"/>
      <c r="GAQ1" s="842"/>
      <c r="GAR1" s="842"/>
      <c r="GAS1" s="842"/>
      <c r="GAT1" s="842"/>
      <c r="GAU1" s="842"/>
      <c r="GAV1" s="842"/>
      <c r="GAW1" s="842"/>
      <c r="GAX1" s="842"/>
      <c r="GAY1" s="842"/>
      <c r="GAZ1" s="842"/>
      <c r="GBA1" s="842"/>
      <c r="GBB1" s="842"/>
      <c r="GBC1" s="842"/>
      <c r="GBD1" s="842"/>
      <c r="GBE1" s="842"/>
      <c r="GBF1" s="842"/>
      <c r="GBG1" s="842"/>
      <c r="GBH1" s="842"/>
      <c r="GBI1" s="842"/>
      <c r="GBJ1" s="842"/>
      <c r="GBK1" s="842"/>
      <c r="GBL1" s="842"/>
      <c r="GBM1" s="842"/>
      <c r="GBN1" s="842"/>
      <c r="GBO1" s="842"/>
      <c r="GBP1" s="842"/>
      <c r="GBQ1" s="842"/>
      <c r="GBR1" s="842"/>
      <c r="GBS1" s="842"/>
      <c r="GBT1" s="842"/>
      <c r="GBU1" s="842"/>
      <c r="GBV1" s="842"/>
      <c r="GBW1" s="842"/>
      <c r="GBX1" s="842"/>
      <c r="GBY1" s="842"/>
      <c r="GBZ1" s="842"/>
      <c r="GCA1" s="842"/>
      <c r="GCB1" s="842"/>
      <c r="GCC1" s="842"/>
      <c r="GCD1" s="842"/>
      <c r="GCE1" s="842"/>
      <c r="GCF1" s="842"/>
      <c r="GCG1" s="842"/>
      <c r="GCH1" s="842"/>
      <c r="GCI1" s="842"/>
      <c r="GCJ1" s="842"/>
      <c r="GCK1" s="842"/>
      <c r="GCL1" s="842"/>
      <c r="GCM1" s="842"/>
      <c r="GCN1" s="842"/>
      <c r="GCO1" s="842"/>
      <c r="GCP1" s="842"/>
      <c r="GCQ1" s="842"/>
      <c r="GCR1" s="842"/>
      <c r="GCS1" s="842"/>
      <c r="GCT1" s="842"/>
      <c r="GCU1" s="842"/>
      <c r="GCV1" s="842"/>
      <c r="GCW1" s="842"/>
      <c r="GCX1" s="842"/>
      <c r="GCY1" s="842"/>
      <c r="GCZ1" s="842"/>
      <c r="GDA1" s="842"/>
      <c r="GDB1" s="842"/>
      <c r="GDC1" s="842"/>
      <c r="GDD1" s="842"/>
      <c r="GDE1" s="842"/>
      <c r="GDF1" s="842"/>
      <c r="GDG1" s="842"/>
      <c r="GDH1" s="842"/>
      <c r="GDI1" s="842"/>
      <c r="GDJ1" s="842"/>
      <c r="GDK1" s="842"/>
      <c r="GDL1" s="842"/>
      <c r="GDM1" s="842"/>
      <c r="GDN1" s="842"/>
      <c r="GDO1" s="842"/>
      <c r="GDP1" s="842"/>
      <c r="GDQ1" s="842"/>
      <c r="GDR1" s="842"/>
      <c r="GDS1" s="842"/>
      <c r="GDT1" s="842"/>
      <c r="GDU1" s="842"/>
      <c r="GDV1" s="842"/>
      <c r="GDW1" s="842"/>
      <c r="GDX1" s="842"/>
      <c r="GDY1" s="842"/>
      <c r="GDZ1" s="842"/>
      <c r="GEA1" s="842"/>
      <c r="GEB1" s="842"/>
      <c r="GEC1" s="842"/>
      <c r="GED1" s="842"/>
      <c r="GEE1" s="842"/>
      <c r="GEF1" s="842"/>
      <c r="GEG1" s="842"/>
      <c r="GEH1" s="842"/>
      <c r="GEI1" s="842"/>
      <c r="GEJ1" s="842"/>
      <c r="GEK1" s="842"/>
      <c r="GEL1" s="842"/>
      <c r="GEM1" s="842"/>
      <c r="GEN1" s="842"/>
      <c r="GEO1" s="842"/>
      <c r="GEP1" s="842"/>
      <c r="GEQ1" s="842"/>
      <c r="GER1" s="842"/>
      <c r="GES1" s="842"/>
      <c r="GET1" s="842"/>
      <c r="GEU1" s="842"/>
      <c r="GEV1" s="842"/>
      <c r="GEW1" s="842"/>
      <c r="GEX1" s="842"/>
      <c r="GEY1" s="842"/>
      <c r="GEZ1" s="842"/>
      <c r="GFA1" s="842"/>
      <c r="GFB1" s="842"/>
      <c r="GFC1" s="842"/>
      <c r="GFD1" s="842"/>
      <c r="GFE1" s="842"/>
      <c r="GFF1" s="842"/>
      <c r="GFG1" s="842"/>
      <c r="GFH1" s="842"/>
      <c r="GFI1" s="842"/>
      <c r="GFJ1" s="842"/>
      <c r="GFK1" s="842"/>
      <c r="GFL1" s="842"/>
      <c r="GFM1" s="842"/>
      <c r="GFN1" s="842"/>
      <c r="GFO1" s="842"/>
      <c r="GFP1" s="842"/>
      <c r="GFQ1" s="842"/>
      <c r="GFR1" s="842"/>
      <c r="GFS1" s="842"/>
      <c r="GFT1" s="842"/>
      <c r="GFU1" s="842"/>
      <c r="GFV1" s="842"/>
      <c r="GFW1" s="842"/>
      <c r="GFX1" s="842"/>
      <c r="GFY1" s="842"/>
      <c r="GFZ1" s="842"/>
      <c r="GGA1" s="842"/>
      <c r="GGB1" s="842"/>
      <c r="GGC1" s="842"/>
      <c r="GGD1" s="842"/>
      <c r="GGE1" s="842"/>
      <c r="GGF1" s="842"/>
      <c r="GGG1" s="842"/>
      <c r="GGH1" s="842"/>
      <c r="GGI1" s="842"/>
      <c r="GGJ1" s="842"/>
      <c r="GGK1" s="842"/>
      <c r="GGL1" s="842"/>
      <c r="GGM1" s="842"/>
      <c r="GGN1" s="842"/>
      <c r="GGO1" s="842"/>
      <c r="GGP1" s="842"/>
      <c r="GGQ1" s="842"/>
      <c r="GGR1" s="842"/>
      <c r="GGS1" s="842"/>
      <c r="GGT1" s="842"/>
      <c r="GGU1" s="842"/>
      <c r="GGV1" s="842"/>
      <c r="GGW1" s="842"/>
      <c r="GGX1" s="842"/>
      <c r="GGY1" s="842"/>
      <c r="GGZ1" s="842"/>
      <c r="GHA1" s="842"/>
      <c r="GHB1" s="842"/>
      <c r="GHC1" s="842"/>
      <c r="GHD1" s="842"/>
      <c r="GHE1" s="842"/>
      <c r="GHF1" s="842"/>
      <c r="GHG1" s="842"/>
      <c r="GHH1" s="842"/>
      <c r="GHI1" s="842"/>
      <c r="GHJ1" s="842"/>
      <c r="GHK1" s="842"/>
      <c r="GHL1" s="842"/>
      <c r="GHM1" s="842"/>
      <c r="GHN1" s="842"/>
      <c r="GHO1" s="842"/>
      <c r="GHP1" s="842"/>
      <c r="GHQ1" s="842"/>
      <c r="GHR1" s="842"/>
      <c r="GHS1" s="842"/>
      <c r="GHT1" s="842"/>
      <c r="GHU1" s="842"/>
      <c r="GHV1" s="842"/>
      <c r="GHW1" s="842"/>
      <c r="GHX1" s="842"/>
      <c r="GHY1" s="842"/>
      <c r="GHZ1" s="842"/>
      <c r="GIA1" s="842"/>
      <c r="GIB1" s="842"/>
      <c r="GIC1" s="842"/>
      <c r="GID1" s="842"/>
      <c r="GIE1" s="842"/>
      <c r="GIF1" s="842"/>
      <c r="GIG1" s="842"/>
      <c r="GIH1" s="842"/>
      <c r="GII1" s="842"/>
      <c r="GIJ1" s="842"/>
      <c r="GIK1" s="842"/>
      <c r="GIL1" s="842"/>
      <c r="GIM1" s="842"/>
      <c r="GIN1" s="842"/>
      <c r="GIO1" s="842"/>
      <c r="GIP1" s="842"/>
      <c r="GIQ1" s="842"/>
      <c r="GIR1" s="842"/>
      <c r="GIS1" s="842"/>
      <c r="GIT1" s="842"/>
      <c r="GIU1" s="842"/>
      <c r="GIV1" s="842"/>
      <c r="GIW1" s="842"/>
      <c r="GIX1" s="842"/>
      <c r="GIY1" s="842"/>
      <c r="GIZ1" s="842"/>
      <c r="GJA1" s="842"/>
      <c r="GJB1" s="842"/>
      <c r="GJC1" s="842"/>
      <c r="GJD1" s="842"/>
      <c r="GJE1" s="842"/>
      <c r="GJF1" s="842"/>
      <c r="GJG1" s="842"/>
      <c r="GJH1" s="842"/>
      <c r="GJI1" s="842"/>
      <c r="GJJ1" s="842"/>
      <c r="GJK1" s="842"/>
      <c r="GJL1" s="842"/>
      <c r="GJM1" s="842"/>
      <c r="GJN1" s="842"/>
      <c r="GJO1" s="842"/>
      <c r="GJP1" s="842"/>
      <c r="GJQ1" s="842"/>
      <c r="GJR1" s="842"/>
      <c r="GJS1" s="842"/>
      <c r="GJT1" s="842"/>
      <c r="GJU1" s="842"/>
      <c r="GJV1" s="842"/>
      <c r="GJW1" s="842"/>
      <c r="GJX1" s="842"/>
      <c r="GJY1" s="842"/>
      <c r="GJZ1" s="842"/>
      <c r="GKA1" s="842"/>
      <c r="GKB1" s="842"/>
      <c r="GKC1" s="842"/>
      <c r="GKD1" s="842"/>
      <c r="GKE1" s="842"/>
      <c r="GKF1" s="842"/>
      <c r="GKG1" s="842"/>
      <c r="GKH1" s="842"/>
      <c r="GKI1" s="842"/>
      <c r="GKJ1" s="842"/>
      <c r="GKK1" s="842"/>
      <c r="GKL1" s="842"/>
      <c r="GKM1" s="842"/>
      <c r="GKN1" s="842"/>
      <c r="GKO1" s="842"/>
      <c r="GKP1" s="842"/>
      <c r="GKQ1" s="842"/>
      <c r="GKR1" s="842"/>
      <c r="GKS1" s="842"/>
      <c r="GKT1" s="842"/>
      <c r="GKU1" s="842"/>
      <c r="GKV1" s="842"/>
      <c r="GKW1" s="842"/>
      <c r="GKX1" s="842"/>
      <c r="GKY1" s="842"/>
      <c r="GKZ1" s="842"/>
      <c r="GLA1" s="842"/>
      <c r="GLB1" s="842"/>
      <c r="GLC1" s="842"/>
      <c r="GLD1" s="842"/>
      <c r="GLE1" s="842"/>
      <c r="GLF1" s="842"/>
      <c r="GLG1" s="842"/>
      <c r="GLH1" s="842"/>
      <c r="GLI1" s="842"/>
      <c r="GLJ1" s="842"/>
      <c r="GLK1" s="842"/>
      <c r="GLL1" s="842"/>
      <c r="GLM1" s="842"/>
      <c r="GLN1" s="842"/>
      <c r="GLO1" s="842"/>
      <c r="GLP1" s="842"/>
      <c r="GLQ1" s="842"/>
      <c r="GLR1" s="842"/>
      <c r="GLS1" s="842"/>
      <c r="GLT1" s="842"/>
      <c r="GLU1" s="842"/>
      <c r="GLV1" s="842"/>
      <c r="GLW1" s="842"/>
      <c r="GLX1" s="842"/>
      <c r="GLY1" s="842"/>
      <c r="GLZ1" s="842"/>
      <c r="GMA1" s="842"/>
      <c r="GMB1" s="842"/>
      <c r="GMC1" s="842"/>
      <c r="GMD1" s="842"/>
      <c r="GME1" s="842"/>
      <c r="GMF1" s="842"/>
      <c r="GMG1" s="842"/>
      <c r="GMH1" s="842"/>
      <c r="GMI1" s="842"/>
      <c r="GMJ1" s="842"/>
      <c r="GMK1" s="842"/>
      <c r="GML1" s="842"/>
      <c r="GMM1" s="842"/>
      <c r="GMN1" s="842"/>
      <c r="GMO1" s="842"/>
      <c r="GMP1" s="842"/>
      <c r="GMQ1" s="842"/>
      <c r="GMR1" s="842"/>
      <c r="GMS1" s="842"/>
      <c r="GMT1" s="842"/>
      <c r="GMU1" s="842"/>
      <c r="GMV1" s="842"/>
      <c r="GMW1" s="842"/>
      <c r="GMX1" s="842"/>
      <c r="GMY1" s="842"/>
      <c r="GMZ1" s="842"/>
      <c r="GNA1" s="842"/>
      <c r="GNB1" s="842"/>
      <c r="GNC1" s="842"/>
      <c r="GND1" s="842"/>
      <c r="GNE1" s="842"/>
      <c r="GNF1" s="842"/>
      <c r="GNG1" s="842"/>
      <c r="GNH1" s="842"/>
      <c r="GNI1" s="842"/>
      <c r="GNJ1" s="842"/>
      <c r="GNK1" s="842"/>
      <c r="GNL1" s="842"/>
      <c r="GNM1" s="842"/>
      <c r="GNN1" s="842"/>
      <c r="GNO1" s="842"/>
      <c r="GNP1" s="842"/>
      <c r="GNQ1" s="842"/>
      <c r="GNR1" s="842"/>
      <c r="GNS1" s="842"/>
      <c r="GNT1" s="842"/>
      <c r="GNU1" s="842"/>
      <c r="GNV1" s="842"/>
      <c r="GNW1" s="842"/>
      <c r="GNX1" s="842"/>
      <c r="GNY1" s="842"/>
      <c r="GNZ1" s="842"/>
      <c r="GOA1" s="842"/>
      <c r="GOB1" s="842"/>
      <c r="GOC1" s="842"/>
      <c r="GOD1" s="842"/>
      <c r="GOE1" s="842"/>
      <c r="GOF1" s="842"/>
      <c r="GOG1" s="842"/>
      <c r="GOH1" s="842"/>
      <c r="GOI1" s="842"/>
      <c r="GOJ1" s="842"/>
      <c r="GOK1" s="842"/>
      <c r="GOL1" s="842"/>
      <c r="GOM1" s="842"/>
      <c r="GON1" s="842"/>
      <c r="GOO1" s="842"/>
      <c r="GOP1" s="842"/>
      <c r="GOQ1" s="842"/>
      <c r="GOR1" s="842"/>
      <c r="GOS1" s="842"/>
      <c r="GOT1" s="842"/>
      <c r="GOU1" s="842"/>
      <c r="GOV1" s="842"/>
      <c r="GOW1" s="842"/>
      <c r="GOX1" s="842"/>
      <c r="GOY1" s="842"/>
      <c r="GOZ1" s="842"/>
      <c r="GPA1" s="842"/>
      <c r="GPB1" s="842"/>
      <c r="GPC1" s="842"/>
      <c r="GPD1" s="842"/>
      <c r="GPE1" s="842"/>
      <c r="GPF1" s="842"/>
      <c r="GPG1" s="842"/>
      <c r="GPH1" s="842"/>
      <c r="GPI1" s="842"/>
      <c r="GPJ1" s="842"/>
      <c r="GPK1" s="842"/>
      <c r="GPL1" s="842"/>
      <c r="GPM1" s="842"/>
      <c r="GPN1" s="842"/>
      <c r="GPO1" s="842"/>
      <c r="GPP1" s="842"/>
      <c r="GPQ1" s="842"/>
      <c r="GPR1" s="842"/>
      <c r="GPS1" s="842"/>
      <c r="GPT1" s="842"/>
      <c r="GPU1" s="842"/>
      <c r="GPV1" s="842"/>
      <c r="GPW1" s="842"/>
      <c r="GPX1" s="842"/>
      <c r="GPY1" s="842"/>
      <c r="GPZ1" s="842"/>
      <c r="GQA1" s="842"/>
      <c r="GQB1" s="842"/>
      <c r="GQC1" s="842"/>
      <c r="GQD1" s="842"/>
      <c r="GQE1" s="842"/>
      <c r="GQF1" s="842"/>
      <c r="GQG1" s="842"/>
      <c r="GQH1" s="842"/>
      <c r="GQI1" s="842"/>
      <c r="GQJ1" s="842"/>
      <c r="GQK1" s="842"/>
      <c r="GQL1" s="842"/>
      <c r="GQM1" s="842"/>
      <c r="GQN1" s="842"/>
      <c r="GQO1" s="842"/>
      <c r="GQP1" s="842"/>
      <c r="GQQ1" s="842"/>
      <c r="GQR1" s="842"/>
      <c r="GQS1" s="842"/>
      <c r="GQT1" s="842"/>
      <c r="GQU1" s="842"/>
      <c r="GQV1" s="842"/>
      <c r="GQW1" s="842"/>
      <c r="GQX1" s="842"/>
      <c r="GQY1" s="842"/>
      <c r="GQZ1" s="842"/>
      <c r="GRA1" s="842"/>
      <c r="GRB1" s="842"/>
      <c r="GRC1" s="842"/>
      <c r="GRD1" s="842"/>
      <c r="GRE1" s="842"/>
      <c r="GRF1" s="842"/>
      <c r="GRG1" s="842"/>
      <c r="GRH1" s="842"/>
      <c r="GRI1" s="842"/>
      <c r="GRJ1" s="842"/>
      <c r="GRK1" s="842"/>
      <c r="GRL1" s="842"/>
      <c r="GRM1" s="842"/>
      <c r="GRN1" s="842"/>
      <c r="GRO1" s="842"/>
      <c r="GRP1" s="842"/>
      <c r="GRQ1" s="842"/>
      <c r="GRR1" s="842"/>
      <c r="GRS1" s="842"/>
      <c r="GRT1" s="842"/>
      <c r="GRU1" s="842"/>
      <c r="GRV1" s="842"/>
      <c r="GRW1" s="842"/>
      <c r="GRX1" s="842"/>
      <c r="GRY1" s="842"/>
      <c r="GRZ1" s="842"/>
      <c r="GSA1" s="842"/>
      <c r="GSB1" s="842"/>
      <c r="GSC1" s="842"/>
      <c r="GSD1" s="842"/>
      <c r="GSE1" s="842"/>
      <c r="GSF1" s="842"/>
      <c r="GSG1" s="842"/>
      <c r="GSH1" s="842"/>
      <c r="GSI1" s="842"/>
      <c r="GSJ1" s="842"/>
      <c r="GSK1" s="842"/>
      <c r="GSL1" s="842"/>
      <c r="GSM1" s="842"/>
      <c r="GSN1" s="842"/>
      <c r="GSO1" s="842"/>
      <c r="GSP1" s="842"/>
      <c r="GSQ1" s="842"/>
      <c r="GSR1" s="842"/>
      <c r="GSS1" s="842"/>
      <c r="GST1" s="842"/>
      <c r="GSU1" s="842"/>
      <c r="GSV1" s="842"/>
      <c r="GSW1" s="842"/>
      <c r="GSX1" s="842"/>
      <c r="GSY1" s="842"/>
      <c r="GSZ1" s="842"/>
      <c r="GTA1" s="842"/>
      <c r="GTB1" s="842"/>
      <c r="GTC1" s="842"/>
      <c r="GTD1" s="842"/>
      <c r="GTE1" s="842"/>
      <c r="GTF1" s="842"/>
      <c r="GTG1" s="842"/>
      <c r="GTH1" s="842"/>
      <c r="GTI1" s="842"/>
      <c r="GTJ1" s="842"/>
      <c r="GTK1" s="842"/>
      <c r="GTL1" s="842"/>
      <c r="GTM1" s="842"/>
      <c r="GTN1" s="842"/>
      <c r="GTO1" s="842"/>
      <c r="GTP1" s="842"/>
      <c r="GTQ1" s="842"/>
      <c r="GTR1" s="842"/>
      <c r="GTS1" s="842"/>
      <c r="GTT1" s="842"/>
      <c r="GTU1" s="842"/>
      <c r="GTV1" s="842"/>
      <c r="GTW1" s="842"/>
      <c r="GTX1" s="842"/>
      <c r="GTY1" s="842"/>
      <c r="GTZ1" s="842"/>
      <c r="GUA1" s="842"/>
      <c r="GUB1" s="842"/>
      <c r="GUC1" s="842"/>
      <c r="GUD1" s="842"/>
      <c r="GUE1" s="842"/>
      <c r="GUF1" s="842"/>
      <c r="GUG1" s="842"/>
      <c r="GUH1" s="842"/>
      <c r="GUI1" s="842"/>
      <c r="GUJ1" s="842"/>
      <c r="GUK1" s="842"/>
      <c r="GUL1" s="842"/>
      <c r="GUM1" s="842"/>
      <c r="GUN1" s="842"/>
      <c r="GUO1" s="842"/>
      <c r="GUP1" s="842"/>
      <c r="GUQ1" s="842"/>
      <c r="GUR1" s="842"/>
      <c r="GUS1" s="842"/>
      <c r="GUT1" s="842"/>
      <c r="GUU1" s="842"/>
      <c r="GUV1" s="842"/>
      <c r="GUW1" s="842"/>
      <c r="GUX1" s="842"/>
      <c r="GUY1" s="842"/>
      <c r="GUZ1" s="842"/>
      <c r="GVA1" s="842"/>
      <c r="GVB1" s="842"/>
      <c r="GVC1" s="842"/>
      <c r="GVD1" s="842"/>
      <c r="GVE1" s="842"/>
      <c r="GVF1" s="842"/>
      <c r="GVG1" s="842"/>
      <c r="GVH1" s="842"/>
      <c r="GVI1" s="842"/>
      <c r="GVJ1" s="842"/>
      <c r="GVK1" s="842"/>
      <c r="GVL1" s="842"/>
      <c r="GVM1" s="842"/>
      <c r="GVN1" s="842"/>
      <c r="GVO1" s="842"/>
      <c r="GVP1" s="842"/>
      <c r="GVQ1" s="842"/>
      <c r="GVR1" s="842"/>
      <c r="GVS1" s="842"/>
      <c r="GVT1" s="842"/>
      <c r="GVU1" s="842"/>
      <c r="GVV1" s="842"/>
      <c r="GVW1" s="842"/>
      <c r="GVX1" s="842"/>
      <c r="GVY1" s="842"/>
      <c r="GVZ1" s="842"/>
      <c r="GWA1" s="842"/>
      <c r="GWB1" s="842"/>
      <c r="GWC1" s="842"/>
      <c r="GWD1" s="842"/>
      <c r="GWE1" s="842"/>
      <c r="GWF1" s="842"/>
      <c r="GWG1" s="842"/>
      <c r="GWH1" s="842"/>
      <c r="GWI1" s="842"/>
      <c r="GWJ1" s="842"/>
      <c r="GWK1" s="842"/>
      <c r="GWL1" s="842"/>
      <c r="GWM1" s="842"/>
      <c r="GWN1" s="842"/>
      <c r="GWO1" s="842"/>
      <c r="GWP1" s="842"/>
      <c r="GWQ1" s="842"/>
      <c r="GWR1" s="842"/>
      <c r="GWS1" s="842"/>
      <c r="GWT1" s="842"/>
      <c r="GWU1" s="842"/>
      <c r="GWV1" s="842"/>
      <c r="GWW1" s="842"/>
      <c r="GWX1" s="842"/>
      <c r="GWY1" s="842"/>
      <c r="GWZ1" s="842"/>
      <c r="GXA1" s="842"/>
      <c r="GXB1" s="842"/>
      <c r="GXC1" s="842"/>
      <c r="GXD1" s="842"/>
      <c r="GXE1" s="842"/>
      <c r="GXF1" s="842"/>
      <c r="GXG1" s="842"/>
      <c r="GXH1" s="842"/>
      <c r="GXI1" s="842"/>
      <c r="GXJ1" s="842"/>
      <c r="GXK1" s="842"/>
      <c r="GXL1" s="842"/>
      <c r="GXM1" s="842"/>
      <c r="GXN1" s="842"/>
      <c r="GXO1" s="842"/>
      <c r="GXP1" s="842"/>
      <c r="GXQ1" s="842"/>
      <c r="GXR1" s="842"/>
      <c r="GXS1" s="842"/>
      <c r="GXT1" s="842"/>
      <c r="GXU1" s="842"/>
      <c r="GXV1" s="842"/>
      <c r="GXW1" s="842"/>
      <c r="GXX1" s="842"/>
      <c r="GXY1" s="842"/>
      <c r="GXZ1" s="842"/>
      <c r="GYA1" s="842"/>
      <c r="GYB1" s="842"/>
      <c r="GYC1" s="842"/>
      <c r="GYD1" s="842"/>
      <c r="GYE1" s="842"/>
      <c r="GYF1" s="842"/>
      <c r="GYG1" s="842"/>
      <c r="GYH1" s="842"/>
      <c r="GYI1" s="842"/>
      <c r="GYJ1" s="842"/>
      <c r="GYK1" s="842"/>
      <c r="GYL1" s="842"/>
      <c r="GYM1" s="842"/>
      <c r="GYN1" s="842"/>
      <c r="GYO1" s="842"/>
      <c r="GYP1" s="842"/>
      <c r="GYQ1" s="842"/>
      <c r="GYR1" s="842"/>
      <c r="GYS1" s="842"/>
      <c r="GYT1" s="842"/>
      <c r="GYU1" s="842"/>
      <c r="GYV1" s="842"/>
      <c r="GYW1" s="842"/>
      <c r="GYX1" s="842"/>
      <c r="GYY1" s="842"/>
      <c r="GYZ1" s="842"/>
      <c r="GZA1" s="842"/>
      <c r="GZB1" s="842"/>
      <c r="GZC1" s="842"/>
      <c r="GZD1" s="842"/>
      <c r="GZE1" s="842"/>
      <c r="GZF1" s="842"/>
      <c r="GZG1" s="842"/>
      <c r="GZH1" s="842"/>
      <c r="GZI1" s="842"/>
      <c r="GZJ1" s="842"/>
      <c r="GZK1" s="842"/>
      <c r="GZL1" s="842"/>
      <c r="GZM1" s="842"/>
      <c r="GZN1" s="842"/>
      <c r="GZO1" s="842"/>
      <c r="GZP1" s="842"/>
      <c r="GZQ1" s="842"/>
      <c r="GZR1" s="842"/>
      <c r="GZS1" s="842"/>
      <c r="GZT1" s="842"/>
      <c r="GZU1" s="842"/>
      <c r="GZV1" s="842"/>
      <c r="GZW1" s="842"/>
      <c r="GZX1" s="842"/>
      <c r="GZY1" s="842"/>
      <c r="GZZ1" s="842"/>
      <c r="HAA1" s="842"/>
      <c r="HAB1" s="842"/>
      <c r="HAC1" s="842"/>
      <c r="HAD1" s="842"/>
      <c r="HAE1" s="842"/>
      <c r="HAF1" s="842"/>
      <c r="HAG1" s="842"/>
      <c r="HAH1" s="842"/>
      <c r="HAI1" s="842"/>
      <c r="HAJ1" s="842"/>
      <c r="HAK1" s="842"/>
      <c r="HAL1" s="842"/>
      <c r="HAM1" s="842"/>
      <c r="HAN1" s="842"/>
      <c r="HAO1" s="842"/>
      <c r="HAP1" s="842"/>
      <c r="HAQ1" s="842"/>
      <c r="HAR1" s="842"/>
      <c r="HAS1" s="842"/>
      <c r="HAT1" s="842"/>
      <c r="HAU1" s="842"/>
      <c r="HAV1" s="842"/>
      <c r="HAW1" s="842"/>
      <c r="HAX1" s="842"/>
      <c r="HAY1" s="842"/>
      <c r="HAZ1" s="842"/>
      <c r="HBA1" s="842"/>
      <c r="HBB1" s="842"/>
      <c r="HBC1" s="842"/>
      <c r="HBD1" s="842"/>
      <c r="HBE1" s="842"/>
      <c r="HBF1" s="842"/>
      <c r="HBG1" s="842"/>
      <c r="HBH1" s="842"/>
      <c r="HBI1" s="842"/>
      <c r="HBJ1" s="842"/>
      <c r="HBK1" s="842"/>
      <c r="HBL1" s="842"/>
      <c r="HBM1" s="842"/>
      <c r="HBN1" s="842"/>
      <c r="HBO1" s="842"/>
      <c r="HBP1" s="842"/>
      <c r="HBQ1" s="842"/>
      <c r="HBR1" s="842"/>
      <c r="HBS1" s="842"/>
      <c r="HBT1" s="842"/>
      <c r="HBU1" s="842"/>
      <c r="HBV1" s="842"/>
      <c r="HBW1" s="842"/>
      <c r="HBX1" s="842"/>
      <c r="HBY1" s="842"/>
      <c r="HBZ1" s="842"/>
      <c r="HCA1" s="842"/>
      <c r="HCB1" s="842"/>
      <c r="HCC1" s="842"/>
      <c r="HCD1" s="842"/>
      <c r="HCE1" s="842"/>
      <c r="HCF1" s="842"/>
      <c r="HCG1" s="842"/>
      <c r="HCH1" s="842"/>
      <c r="HCI1" s="842"/>
      <c r="HCJ1" s="842"/>
      <c r="HCK1" s="842"/>
      <c r="HCL1" s="842"/>
      <c r="HCM1" s="842"/>
      <c r="HCN1" s="842"/>
      <c r="HCO1" s="842"/>
      <c r="HCP1" s="842"/>
      <c r="HCQ1" s="842"/>
      <c r="HCR1" s="842"/>
      <c r="HCS1" s="842"/>
      <c r="HCT1" s="842"/>
      <c r="HCU1" s="842"/>
      <c r="HCV1" s="842"/>
      <c r="HCW1" s="842"/>
      <c r="HCX1" s="842"/>
      <c r="HCY1" s="842"/>
      <c r="HCZ1" s="842"/>
      <c r="HDA1" s="842"/>
      <c r="HDB1" s="842"/>
      <c r="HDC1" s="842"/>
      <c r="HDD1" s="842"/>
      <c r="HDE1" s="842"/>
      <c r="HDF1" s="842"/>
      <c r="HDG1" s="842"/>
      <c r="HDH1" s="842"/>
      <c r="HDI1" s="842"/>
      <c r="HDJ1" s="842"/>
      <c r="HDK1" s="842"/>
      <c r="HDL1" s="842"/>
      <c r="HDM1" s="842"/>
      <c r="HDN1" s="842"/>
      <c r="HDO1" s="842"/>
      <c r="HDP1" s="842"/>
      <c r="HDQ1" s="842"/>
      <c r="HDR1" s="842"/>
      <c r="HDS1" s="842"/>
      <c r="HDT1" s="842"/>
      <c r="HDU1" s="842"/>
      <c r="HDV1" s="842"/>
      <c r="HDW1" s="842"/>
      <c r="HDX1" s="842"/>
      <c r="HDY1" s="842"/>
      <c r="HDZ1" s="842"/>
      <c r="HEA1" s="842"/>
      <c r="HEB1" s="842"/>
      <c r="HEC1" s="842"/>
      <c r="HED1" s="842"/>
      <c r="HEE1" s="842"/>
      <c r="HEF1" s="842"/>
      <c r="HEG1" s="842"/>
      <c r="HEH1" s="842"/>
      <c r="HEI1" s="842"/>
      <c r="HEJ1" s="842"/>
      <c r="HEK1" s="842"/>
      <c r="HEL1" s="842"/>
      <c r="HEM1" s="842"/>
      <c r="HEN1" s="842"/>
      <c r="HEO1" s="842"/>
      <c r="HEP1" s="842"/>
      <c r="HEQ1" s="842"/>
      <c r="HER1" s="842"/>
      <c r="HES1" s="842"/>
      <c r="HET1" s="842"/>
      <c r="HEU1" s="842"/>
      <c r="HEV1" s="842"/>
      <c r="HEW1" s="842"/>
      <c r="HEX1" s="842"/>
      <c r="HEY1" s="842"/>
      <c r="HEZ1" s="842"/>
      <c r="HFA1" s="842"/>
      <c r="HFB1" s="842"/>
      <c r="HFC1" s="842"/>
      <c r="HFD1" s="842"/>
      <c r="HFE1" s="842"/>
      <c r="HFF1" s="842"/>
      <c r="HFG1" s="842"/>
      <c r="HFH1" s="842"/>
      <c r="HFI1" s="842"/>
      <c r="HFJ1" s="842"/>
      <c r="HFK1" s="842"/>
      <c r="HFL1" s="842"/>
      <c r="HFM1" s="842"/>
      <c r="HFN1" s="842"/>
      <c r="HFO1" s="842"/>
      <c r="HFP1" s="842"/>
      <c r="HFQ1" s="842"/>
      <c r="HFR1" s="842"/>
      <c r="HFS1" s="842"/>
      <c r="HFT1" s="842"/>
      <c r="HFU1" s="842"/>
      <c r="HFV1" s="842"/>
      <c r="HFW1" s="842"/>
      <c r="HFX1" s="842"/>
      <c r="HFY1" s="842"/>
      <c r="HFZ1" s="842"/>
      <c r="HGA1" s="842"/>
      <c r="HGB1" s="842"/>
      <c r="HGC1" s="842"/>
      <c r="HGD1" s="842"/>
      <c r="HGE1" s="842"/>
      <c r="HGF1" s="842"/>
      <c r="HGG1" s="842"/>
      <c r="HGH1" s="842"/>
      <c r="HGI1" s="842"/>
      <c r="HGJ1" s="842"/>
      <c r="HGK1" s="842"/>
      <c r="HGL1" s="842"/>
      <c r="HGM1" s="842"/>
      <c r="HGN1" s="842"/>
      <c r="HGO1" s="842"/>
      <c r="HGP1" s="842"/>
      <c r="HGQ1" s="842"/>
      <c r="HGR1" s="842"/>
      <c r="HGS1" s="842"/>
      <c r="HGT1" s="842"/>
      <c r="HGU1" s="842"/>
      <c r="HGV1" s="842"/>
      <c r="HGW1" s="842"/>
      <c r="HGX1" s="842"/>
      <c r="HGY1" s="842"/>
      <c r="HGZ1" s="842"/>
      <c r="HHA1" s="842"/>
      <c r="HHB1" s="842"/>
      <c r="HHC1" s="842"/>
      <c r="HHD1" s="842"/>
      <c r="HHE1" s="842"/>
      <c r="HHF1" s="842"/>
      <c r="HHG1" s="842"/>
      <c r="HHH1" s="842"/>
      <c r="HHI1" s="842"/>
      <c r="HHJ1" s="842"/>
      <c r="HHK1" s="842"/>
      <c r="HHL1" s="842"/>
      <c r="HHM1" s="842"/>
      <c r="HHN1" s="842"/>
      <c r="HHO1" s="842"/>
      <c r="HHP1" s="842"/>
      <c r="HHQ1" s="842"/>
      <c r="HHR1" s="842"/>
      <c r="HHS1" s="842"/>
      <c r="HHT1" s="842"/>
      <c r="HHU1" s="842"/>
      <c r="HHV1" s="842"/>
      <c r="HHW1" s="842"/>
      <c r="HHX1" s="842"/>
      <c r="HHY1" s="842"/>
      <c r="HHZ1" s="842"/>
      <c r="HIA1" s="842"/>
      <c r="HIB1" s="842"/>
      <c r="HIC1" s="842"/>
      <c r="HID1" s="842"/>
      <c r="HIE1" s="842"/>
      <c r="HIF1" s="842"/>
      <c r="HIG1" s="842"/>
      <c r="HIH1" s="842"/>
      <c r="HII1" s="842"/>
      <c r="HIJ1" s="842"/>
      <c r="HIK1" s="842"/>
      <c r="HIL1" s="842"/>
      <c r="HIM1" s="842"/>
      <c r="HIN1" s="842"/>
      <c r="HIO1" s="842"/>
      <c r="HIP1" s="842"/>
      <c r="HIQ1" s="842"/>
      <c r="HIR1" s="842"/>
      <c r="HIS1" s="842"/>
      <c r="HIT1" s="842"/>
      <c r="HIU1" s="842"/>
      <c r="HIV1" s="842"/>
      <c r="HIW1" s="842"/>
      <c r="HIX1" s="842"/>
      <c r="HIY1" s="842"/>
      <c r="HIZ1" s="842"/>
      <c r="HJA1" s="842"/>
      <c r="HJB1" s="842"/>
      <c r="HJC1" s="842"/>
      <c r="HJD1" s="842"/>
      <c r="HJE1" s="842"/>
      <c r="HJF1" s="842"/>
      <c r="HJG1" s="842"/>
      <c r="HJH1" s="842"/>
      <c r="HJI1" s="842"/>
      <c r="HJJ1" s="842"/>
      <c r="HJK1" s="842"/>
      <c r="HJL1" s="842"/>
      <c r="HJM1" s="842"/>
      <c r="HJN1" s="842"/>
      <c r="HJO1" s="842"/>
      <c r="HJP1" s="842"/>
      <c r="HJQ1" s="842"/>
      <c r="HJR1" s="842"/>
      <c r="HJS1" s="842"/>
      <c r="HJT1" s="842"/>
      <c r="HJU1" s="842"/>
      <c r="HJV1" s="842"/>
      <c r="HJW1" s="842"/>
      <c r="HJX1" s="842"/>
      <c r="HJY1" s="842"/>
      <c r="HJZ1" s="842"/>
      <c r="HKA1" s="842"/>
      <c r="HKB1" s="842"/>
      <c r="HKC1" s="842"/>
      <c r="HKD1" s="842"/>
      <c r="HKE1" s="842"/>
      <c r="HKF1" s="842"/>
      <c r="HKG1" s="842"/>
      <c r="HKH1" s="842"/>
      <c r="HKI1" s="842"/>
      <c r="HKJ1" s="842"/>
      <c r="HKK1" s="842"/>
      <c r="HKL1" s="842"/>
      <c r="HKM1" s="842"/>
      <c r="HKN1" s="842"/>
      <c r="HKO1" s="842"/>
      <c r="HKP1" s="842"/>
      <c r="HKQ1" s="842"/>
      <c r="HKR1" s="842"/>
      <c r="HKS1" s="842"/>
      <c r="HKT1" s="842"/>
      <c r="HKU1" s="842"/>
      <c r="HKV1" s="842"/>
      <c r="HKW1" s="842"/>
      <c r="HKX1" s="842"/>
      <c r="HKY1" s="842"/>
      <c r="HKZ1" s="842"/>
      <c r="HLA1" s="842"/>
      <c r="HLB1" s="842"/>
      <c r="HLC1" s="842"/>
      <c r="HLD1" s="842"/>
      <c r="HLE1" s="842"/>
      <c r="HLF1" s="842"/>
      <c r="HLG1" s="842"/>
      <c r="HLH1" s="842"/>
      <c r="HLI1" s="842"/>
      <c r="HLJ1" s="842"/>
      <c r="HLK1" s="842"/>
      <c r="HLL1" s="842"/>
      <c r="HLM1" s="842"/>
      <c r="HLN1" s="842"/>
      <c r="HLO1" s="842"/>
      <c r="HLP1" s="842"/>
      <c r="HLQ1" s="842"/>
      <c r="HLR1" s="842"/>
      <c r="HLS1" s="842"/>
      <c r="HLT1" s="842"/>
      <c r="HLU1" s="842"/>
      <c r="HLV1" s="842"/>
      <c r="HLW1" s="842"/>
      <c r="HLX1" s="842"/>
      <c r="HLY1" s="842"/>
      <c r="HLZ1" s="842"/>
      <c r="HMA1" s="842"/>
      <c r="HMB1" s="842"/>
      <c r="HMC1" s="842"/>
      <c r="HMD1" s="842"/>
      <c r="HME1" s="842"/>
      <c r="HMF1" s="842"/>
      <c r="HMG1" s="842"/>
      <c r="HMH1" s="842"/>
      <c r="HMI1" s="842"/>
      <c r="HMJ1" s="842"/>
      <c r="HMK1" s="842"/>
      <c r="HML1" s="842"/>
      <c r="HMM1" s="842"/>
      <c r="HMN1" s="842"/>
      <c r="HMO1" s="842"/>
      <c r="HMP1" s="842"/>
      <c r="HMQ1" s="842"/>
      <c r="HMR1" s="842"/>
      <c r="HMS1" s="842"/>
      <c r="HMT1" s="842"/>
      <c r="HMU1" s="842"/>
      <c r="HMV1" s="842"/>
      <c r="HMW1" s="842"/>
      <c r="HMX1" s="842"/>
      <c r="HMY1" s="842"/>
      <c r="HMZ1" s="842"/>
      <c r="HNA1" s="842"/>
      <c r="HNB1" s="842"/>
      <c r="HNC1" s="842"/>
      <c r="HND1" s="842"/>
      <c r="HNE1" s="842"/>
      <c r="HNF1" s="842"/>
      <c r="HNG1" s="842"/>
      <c r="HNH1" s="842"/>
      <c r="HNI1" s="842"/>
      <c r="HNJ1" s="842"/>
      <c r="HNK1" s="842"/>
      <c r="HNL1" s="842"/>
      <c r="HNM1" s="842"/>
      <c r="HNN1" s="842"/>
      <c r="HNO1" s="842"/>
      <c r="HNP1" s="842"/>
      <c r="HNQ1" s="842"/>
      <c r="HNR1" s="842"/>
      <c r="HNS1" s="842"/>
      <c r="HNT1" s="842"/>
      <c r="HNU1" s="842"/>
      <c r="HNV1" s="842"/>
      <c r="HNW1" s="842"/>
      <c r="HNX1" s="842"/>
      <c r="HNY1" s="842"/>
      <c r="HNZ1" s="842"/>
      <c r="HOA1" s="842"/>
      <c r="HOB1" s="842"/>
      <c r="HOC1" s="842"/>
      <c r="HOD1" s="842"/>
      <c r="HOE1" s="842"/>
      <c r="HOF1" s="842"/>
      <c r="HOG1" s="842"/>
      <c r="HOH1" s="842"/>
      <c r="HOI1" s="842"/>
      <c r="HOJ1" s="842"/>
      <c r="HOK1" s="842"/>
      <c r="HOL1" s="842"/>
      <c r="HOM1" s="842"/>
      <c r="HON1" s="842"/>
      <c r="HOO1" s="842"/>
      <c r="HOP1" s="842"/>
      <c r="HOQ1" s="842"/>
      <c r="HOR1" s="842"/>
      <c r="HOS1" s="842"/>
      <c r="HOT1" s="842"/>
      <c r="HOU1" s="842"/>
      <c r="HOV1" s="842"/>
      <c r="HOW1" s="842"/>
      <c r="HOX1" s="842"/>
      <c r="HOY1" s="842"/>
      <c r="HOZ1" s="842"/>
      <c r="HPA1" s="842"/>
      <c r="HPB1" s="842"/>
      <c r="HPC1" s="842"/>
      <c r="HPD1" s="842"/>
      <c r="HPE1" s="842"/>
      <c r="HPF1" s="842"/>
      <c r="HPG1" s="842"/>
      <c r="HPH1" s="842"/>
      <c r="HPI1" s="842"/>
      <c r="HPJ1" s="842"/>
      <c r="HPK1" s="842"/>
      <c r="HPL1" s="842"/>
      <c r="HPM1" s="842"/>
      <c r="HPN1" s="842"/>
      <c r="HPO1" s="842"/>
      <c r="HPP1" s="842"/>
      <c r="HPQ1" s="842"/>
      <c r="HPR1" s="842"/>
      <c r="HPS1" s="842"/>
      <c r="HPT1" s="842"/>
      <c r="HPU1" s="842"/>
      <c r="HPV1" s="842"/>
      <c r="HPW1" s="842"/>
      <c r="HPX1" s="842"/>
      <c r="HPY1" s="842"/>
      <c r="HPZ1" s="842"/>
      <c r="HQA1" s="842"/>
      <c r="HQB1" s="842"/>
      <c r="HQC1" s="842"/>
      <c r="HQD1" s="842"/>
      <c r="HQE1" s="842"/>
      <c r="HQF1" s="842"/>
      <c r="HQG1" s="842"/>
      <c r="HQH1" s="842"/>
      <c r="HQI1" s="842"/>
      <c r="HQJ1" s="842"/>
      <c r="HQK1" s="842"/>
      <c r="HQL1" s="842"/>
      <c r="HQM1" s="842"/>
      <c r="HQN1" s="842"/>
      <c r="HQO1" s="842"/>
      <c r="HQP1" s="842"/>
      <c r="HQQ1" s="842"/>
      <c r="HQR1" s="842"/>
      <c r="HQS1" s="842"/>
      <c r="HQT1" s="842"/>
      <c r="HQU1" s="842"/>
      <c r="HQV1" s="842"/>
      <c r="HQW1" s="842"/>
      <c r="HQX1" s="842"/>
      <c r="HQY1" s="842"/>
      <c r="HQZ1" s="842"/>
      <c r="HRA1" s="842"/>
      <c r="HRB1" s="842"/>
      <c r="HRC1" s="842"/>
      <c r="HRD1" s="842"/>
      <c r="HRE1" s="842"/>
      <c r="HRF1" s="842"/>
      <c r="HRG1" s="842"/>
      <c r="HRH1" s="842"/>
      <c r="HRI1" s="842"/>
      <c r="HRJ1" s="842"/>
      <c r="HRK1" s="842"/>
      <c r="HRL1" s="842"/>
      <c r="HRM1" s="842"/>
      <c r="HRN1" s="842"/>
      <c r="HRO1" s="842"/>
      <c r="HRP1" s="842"/>
      <c r="HRQ1" s="842"/>
      <c r="HRR1" s="842"/>
      <c r="HRS1" s="842"/>
      <c r="HRT1" s="842"/>
      <c r="HRU1" s="842"/>
      <c r="HRV1" s="842"/>
      <c r="HRW1" s="842"/>
      <c r="HRX1" s="842"/>
      <c r="HRY1" s="842"/>
      <c r="HRZ1" s="842"/>
      <c r="HSA1" s="842"/>
      <c r="HSB1" s="842"/>
      <c r="HSC1" s="842"/>
      <c r="HSD1" s="842"/>
      <c r="HSE1" s="842"/>
      <c r="HSF1" s="842"/>
      <c r="HSG1" s="842"/>
      <c r="HSH1" s="842"/>
      <c r="HSI1" s="842"/>
      <c r="HSJ1" s="842"/>
      <c r="HSK1" s="842"/>
      <c r="HSL1" s="842"/>
      <c r="HSM1" s="842"/>
      <c r="HSN1" s="842"/>
      <c r="HSO1" s="842"/>
      <c r="HSP1" s="842"/>
      <c r="HSQ1" s="842"/>
      <c r="HSR1" s="842"/>
      <c r="HSS1" s="842"/>
      <c r="HST1" s="842"/>
      <c r="HSU1" s="842"/>
      <c r="HSV1" s="842"/>
      <c r="HSW1" s="842"/>
      <c r="HSX1" s="842"/>
      <c r="HSY1" s="842"/>
      <c r="HSZ1" s="842"/>
      <c r="HTA1" s="842"/>
      <c r="HTB1" s="842"/>
      <c r="HTC1" s="842"/>
      <c r="HTD1" s="842"/>
      <c r="HTE1" s="842"/>
      <c r="HTF1" s="842"/>
      <c r="HTG1" s="842"/>
      <c r="HTH1" s="842"/>
      <c r="HTI1" s="842"/>
      <c r="HTJ1" s="842"/>
      <c r="HTK1" s="842"/>
      <c r="HTL1" s="842"/>
      <c r="HTM1" s="842"/>
      <c r="HTN1" s="842"/>
      <c r="HTO1" s="842"/>
      <c r="HTP1" s="842"/>
      <c r="HTQ1" s="842"/>
      <c r="HTR1" s="842"/>
      <c r="HTS1" s="842"/>
      <c r="HTT1" s="842"/>
      <c r="HTU1" s="842"/>
      <c r="HTV1" s="842"/>
      <c r="HTW1" s="842"/>
      <c r="HTX1" s="842"/>
      <c r="HTY1" s="842"/>
      <c r="HTZ1" s="842"/>
      <c r="HUA1" s="842"/>
      <c r="HUB1" s="842"/>
      <c r="HUC1" s="842"/>
      <c r="HUD1" s="842"/>
      <c r="HUE1" s="842"/>
      <c r="HUF1" s="842"/>
      <c r="HUG1" s="842"/>
      <c r="HUH1" s="842"/>
      <c r="HUI1" s="842"/>
      <c r="HUJ1" s="842"/>
      <c r="HUK1" s="842"/>
      <c r="HUL1" s="842"/>
      <c r="HUM1" s="842"/>
      <c r="HUN1" s="842"/>
      <c r="HUO1" s="842"/>
      <c r="HUP1" s="842"/>
      <c r="HUQ1" s="842"/>
      <c r="HUR1" s="842"/>
      <c r="HUS1" s="842"/>
      <c r="HUT1" s="842"/>
      <c r="HUU1" s="842"/>
      <c r="HUV1" s="842"/>
      <c r="HUW1" s="842"/>
      <c r="HUX1" s="842"/>
      <c r="HUY1" s="842"/>
      <c r="HUZ1" s="842"/>
      <c r="HVA1" s="842"/>
      <c r="HVB1" s="842"/>
      <c r="HVC1" s="842"/>
      <c r="HVD1" s="842"/>
      <c r="HVE1" s="842"/>
      <c r="HVF1" s="842"/>
      <c r="HVG1" s="842"/>
      <c r="HVH1" s="842"/>
      <c r="HVI1" s="842"/>
      <c r="HVJ1" s="842"/>
      <c r="HVK1" s="842"/>
      <c r="HVL1" s="842"/>
      <c r="HVM1" s="842"/>
      <c r="HVN1" s="842"/>
      <c r="HVO1" s="842"/>
      <c r="HVP1" s="842"/>
      <c r="HVQ1" s="842"/>
      <c r="HVR1" s="842"/>
      <c r="HVS1" s="842"/>
      <c r="HVT1" s="842"/>
      <c r="HVU1" s="842"/>
      <c r="HVV1" s="842"/>
      <c r="HVW1" s="842"/>
      <c r="HVX1" s="842"/>
      <c r="HVY1" s="842"/>
      <c r="HVZ1" s="842"/>
      <c r="HWA1" s="842"/>
      <c r="HWB1" s="842"/>
      <c r="HWC1" s="842"/>
      <c r="HWD1" s="842"/>
      <c r="HWE1" s="842"/>
      <c r="HWF1" s="842"/>
      <c r="HWG1" s="842"/>
      <c r="HWH1" s="842"/>
      <c r="HWI1" s="842"/>
      <c r="HWJ1" s="842"/>
      <c r="HWK1" s="842"/>
      <c r="HWL1" s="842"/>
      <c r="HWM1" s="842"/>
      <c r="HWN1" s="842"/>
      <c r="HWO1" s="842"/>
      <c r="HWP1" s="842"/>
      <c r="HWQ1" s="842"/>
      <c r="HWR1" s="842"/>
      <c r="HWS1" s="842"/>
      <c r="HWT1" s="842"/>
      <c r="HWU1" s="842"/>
      <c r="HWV1" s="842"/>
      <c r="HWW1" s="842"/>
      <c r="HWX1" s="842"/>
      <c r="HWY1" s="842"/>
      <c r="HWZ1" s="842"/>
      <c r="HXA1" s="842"/>
      <c r="HXB1" s="842"/>
      <c r="HXC1" s="842"/>
      <c r="HXD1" s="842"/>
      <c r="HXE1" s="842"/>
      <c r="HXF1" s="842"/>
      <c r="HXG1" s="842"/>
      <c r="HXH1" s="842"/>
      <c r="HXI1" s="842"/>
      <c r="HXJ1" s="842"/>
      <c r="HXK1" s="842"/>
      <c r="HXL1" s="842"/>
      <c r="HXM1" s="842"/>
      <c r="HXN1" s="842"/>
      <c r="HXO1" s="842"/>
      <c r="HXP1" s="842"/>
      <c r="HXQ1" s="842"/>
      <c r="HXR1" s="842"/>
      <c r="HXS1" s="842"/>
      <c r="HXT1" s="842"/>
      <c r="HXU1" s="842"/>
      <c r="HXV1" s="842"/>
      <c r="HXW1" s="842"/>
      <c r="HXX1" s="842"/>
      <c r="HXY1" s="842"/>
      <c r="HXZ1" s="842"/>
      <c r="HYA1" s="842"/>
      <c r="HYB1" s="842"/>
      <c r="HYC1" s="842"/>
      <c r="HYD1" s="842"/>
      <c r="HYE1" s="842"/>
      <c r="HYF1" s="842"/>
      <c r="HYG1" s="842"/>
      <c r="HYH1" s="842"/>
      <c r="HYI1" s="842"/>
      <c r="HYJ1" s="842"/>
      <c r="HYK1" s="842"/>
      <c r="HYL1" s="842"/>
      <c r="HYM1" s="842"/>
      <c r="HYN1" s="842"/>
      <c r="HYO1" s="842"/>
      <c r="HYP1" s="842"/>
      <c r="HYQ1" s="842"/>
      <c r="HYR1" s="842"/>
      <c r="HYS1" s="842"/>
      <c r="HYT1" s="842"/>
      <c r="HYU1" s="842"/>
      <c r="HYV1" s="842"/>
      <c r="HYW1" s="842"/>
      <c r="HYX1" s="842"/>
      <c r="HYY1" s="842"/>
      <c r="HYZ1" s="842"/>
      <c r="HZA1" s="842"/>
      <c r="HZB1" s="842"/>
      <c r="HZC1" s="842"/>
      <c r="HZD1" s="842"/>
      <c r="HZE1" s="842"/>
      <c r="HZF1" s="842"/>
      <c r="HZG1" s="842"/>
      <c r="HZH1" s="842"/>
      <c r="HZI1" s="842"/>
      <c r="HZJ1" s="842"/>
      <c r="HZK1" s="842"/>
      <c r="HZL1" s="842"/>
      <c r="HZM1" s="842"/>
      <c r="HZN1" s="842"/>
      <c r="HZO1" s="842"/>
      <c r="HZP1" s="842"/>
      <c r="HZQ1" s="842"/>
      <c r="HZR1" s="842"/>
      <c r="HZS1" s="842"/>
      <c r="HZT1" s="842"/>
      <c r="HZU1" s="842"/>
      <c r="HZV1" s="842"/>
      <c r="HZW1" s="842"/>
      <c r="HZX1" s="842"/>
      <c r="HZY1" s="842"/>
      <c r="HZZ1" s="842"/>
      <c r="IAA1" s="842"/>
      <c r="IAB1" s="842"/>
      <c r="IAC1" s="842"/>
      <c r="IAD1" s="842"/>
      <c r="IAE1" s="842"/>
      <c r="IAF1" s="842"/>
      <c r="IAG1" s="842"/>
      <c r="IAH1" s="842"/>
      <c r="IAI1" s="842"/>
      <c r="IAJ1" s="842"/>
      <c r="IAK1" s="842"/>
      <c r="IAL1" s="842"/>
      <c r="IAM1" s="842"/>
      <c r="IAN1" s="842"/>
      <c r="IAO1" s="842"/>
      <c r="IAP1" s="842"/>
      <c r="IAQ1" s="842"/>
      <c r="IAR1" s="842"/>
      <c r="IAS1" s="842"/>
      <c r="IAT1" s="842"/>
      <c r="IAU1" s="842"/>
      <c r="IAV1" s="842"/>
      <c r="IAW1" s="842"/>
      <c r="IAX1" s="842"/>
      <c r="IAY1" s="842"/>
      <c r="IAZ1" s="842"/>
      <c r="IBA1" s="842"/>
      <c r="IBB1" s="842"/>
      <c r="IBC1" s="842"/>
      <c r="IBD1" s="842"/>
      <c r="IBE1" s="842"/>
      <c r="IBF1" s="842"/>
      <c r="IBG1" s="842"/>
      <c r="IBH1" s="842"/>
      <c r="IBI1" s="842"/>
      <c r="IBJ1" s="842"/>
      <c r="IBK1" s="842"/>
      <c r="IBL1" s="842"/>
      <c r="IBM1" s="842"/>
      <c r="IBN1" s="842"/>
      <c r="IBO1" s="842"/>
      <c r="IBP1" s="842"/>
      <c r="IBQ1" s="842"/>
      <c r="IBR1" s="842"/>
      <c r="IBS1" s="842"/>
      <c r="IBT1" s="842"/>
      <c r="IBU1" s="842"/>
      <c r="IBV1" s="842"/>
      <c r="IBW1" s="842"/>
      <c r="IBX1" s="842"/>
      <c r="IBY1" s="842"/>
      <c r="IBZ1" s="842"/>
      <c r="ICA1" s="842"/>
      <c r="ICB1" s="842"/>
      <c r="ICC1" s="842"/>
      <c r="ICD1" s="842"/>
      <c r="ICE1" s="842"/>
      <c r="ICF1" s="842"/>
      <c r="ICG1" s="842"/>
      <c r="ICH1" s="842"/>
      <c r="ICI1" s="842"/>
      <c r="ICJ1" s="842"/>
      <c r="ICK1" s="842"/>
      <c r="ICL1" s="842"/>
      <c r="ICM1" s="842"/>
      <c r="ICN1" s="842"/>
      <c r="ICO1" s="842"/>
      <c r="ICP1" s="842"/>
      <c r="ICQ1" s="842"/>
      <c r="ICR1" s="842"/>
      <c r="ICS1" s="842"/>
      <c r="ICT1" s="842"/>
      <c r="ICU1" s="842"/>
      <c r="ICV1" s="842"/>
      <c r="ICW1" s="842"/>
      <c r="ICX1" s="842"/>
      <c r="ICY1" s="842"/>
      <c r="ICZ1" s="842"/>
      <c r="IDA1" s="842"/>
      <c r="IDB1" s="842"/>
      <c r="IDC1" s="842"/>
      <c r="IDD1" s="842"/>
      <c r="IDE1" s="842"/>
      <c r="IDF1" s="842"/>
      <c r="IDG1" s="842"/>
      <c r="IDH1" s="842"/>
      <c r="IDI1" s="842"/>
      <c r="IDJ1" s="842"/>
      <c r="IDK1" s="842"/>
      <c r="IDL1" s="842"/>
      <c r="IDM1" s="842"/>
      <c r="IDN1" s="842"/>
      <c r="IDO1" s="842"/>
      <c r="IDP1" s="842"/>
      <c r="IDQ1" s="842"/>
      <c r="IDR1" s="842"/>
      <c r="IDS1" s="842"/>
      <c r="IDT1" s="842"/>
      <c r="IDU1" s="842"/>
      <c r="IDV1" s="842"/>
      <c r="IDW1" s="842"/>
      <c r="IDX1" s="842"/>
      <c r="IDY1" s="842"/>
      <c r="IDZ1" s="842"/>
      <c r="IEA1" s="842"/>
      <c r="IEB1" s="842"/>
      <c r="IEC1" s="842"/>
      <c r="IED1" s="842"/>
      <c r="IEE1" s="842"/>
      <c r="IEF1" s="842"/>
      <c r="IEG1" s="842"/>
      <c r="IEH1" s="842"/>
      <c r="IEI1" s="842"/>
      <c r="IEJ1" s="842"/>
      <c r="IEK1" s="842"/>
      <c r="IEL1" s="842"/>
      <c r="IEM1" s="842"/>
      <c r="IEN1" s="842"/>
      <c r="IEO1" s="842"/>
      <c r="IEP1" s="842"/>
      <c r="IEQ1" s="842"/>
      <c r="IER1" s="842"/>
      <c r="IES1" s="842"/>
      <c r="IET1" s="842"/>
      <c r="IEU1" s="842"/>
      <c r="IEV1" s="842"/>
      <c r="IEW1" s="842"/>
      <c r="IEX1" s="842"/>
      <c r="IEY1" s="842"/>
      <c r="IEZ1" s="842"/>
      <c r="IFA1" s="842"/>
      <c r="IFB1" s="842"/>
      <c r="IFC1" s="842"/>
      <c r="IFD1" s="842"/>
      <c r="IFE1" s="842"/>
      <c r="IFF1" s="842"/>
      <c r="IFG1" s="842"/>
      <c r="IFH1" s="842"/>
      <c r="IFI1" s="842"/>
      <c r="IFJ1" s="842"/>
      <c r="IFK1" s="842"/>
      <c r="IFL1" s="842"/>
      <c r="IFM1" s="842"/>
      <c r="IFN1" s="842"/>
      <c r="IFO1" s="842"/>
      <c r="IFP1" s="842"/>
      <c r="IFQ1" s="842"/>
      <c r="IFR1" s="842"/>
      <c r="IFS1" s="842"/>
      <c r="IFT1" s="842"/>
      <c r="IFU1" s="842"/>
      <c r="IFV1" s="842"/>
      <c r="IFW1" s="842"/>
      <c r="IFX1" s="842"/>
      <c r="IFY1" s="842"/>
      <c r="IFZ1" s="842"/>
      <c r="IGA1" s="842"/>
      <c r="IGB1" s="842"/>
      <c r="IGC1" s="842"/>
      <c r="IGD1" s="842"/>
      <c r="IGE1" s="842"/>
      <c r="IGF1" s="842"/>
      <c r="IGG1" s="842"/>
      <c r="IGH1" s="842"/>
      <c r="IGI1" s="842"/>
      <c r="IGJ1" s="842"/>
      <c r="IGK1" s="842"/>
      <c r="IGL1" s="842"/>
      <c r="IGM1" s="842"/>
      <c r="IGN1" s="842"/>
      <c r="IGO1" s="842"/>
      <c r="IGP1" s="842"/>
      <c r="IGQ1" s="842"/>
      <c r="IGR1" s="842"/>
      <c r="IGS1" s="842"/>
      <c r="IGT1" s="842"/>
      <c r="IGU1" s="842"/>
      <c r="IGV1" s="842"/>
      <c r="IGW1" s="842"/>
      <c r="IGX1" s="842"/>
      <c r="IGY1" s="842"/>
      <c r="IGZ1" s="842"/>
      <c r="IHA1" s="842"/>
      <c r="IHB1" s="842"/>
      <c r="IHC1" s="842"/>
      <c r="IHD1" s="842"/>
      <c r="IHE1" s="842"/>
      <c r="IHF1" s="842"/>
      <c r="IHG1" s="842"/>
      <c r="IHH1" s="842"/>
      <c r="IHI1" s="842"/>
      <c r="IHJ1" s="842"/>
      <c r="IHK1" s="842"/>
      <c r="IHL1" s="842"/>
      <c r="IHM1" s="842"/>
      <c r="IHN1" s="842"/>
      <c r="IHO1" s="842"/>
      <c r="IHP1" s="842"/>
      <c r="IHQ1" s="842"/>
      <c r="IHR1" s="842"/>
      <c r="IHS1" s="842"/>
      <c r="IHT1" s="842"/>
      <c r="IHU1" s="842"/>
      <c r="IHV1" s="842"/>
      <c r="IHW1" s="842"/>
      <c r="IHX1" s="842"/>
      <c r="IHY1" s="842"/>
      <c r="IHZ1" s="842"/>
      <c r="IIA1" s="842"/>
      <c r="IIB1" s="842"/>
      <c r="IIC1" s="842"/>
      <c r="IID1" s="842"/>
      <c r="IIE1" s="842"/>
      <c r="IIF1" s="842"/>
      <c r="IIG1" s="842"/>
      <c r="IIH1" s="842"/>
      <c r="III1" s="842"/>
      <c r="IIJ1" s="842"/>
      <c r="IIK1" s="842"/>
      <c r="IIL1" s="842"/>
      <c r="IIM1" s="842"/>
      <c r="IIN1" s="842"/>
      <c r="IIO1" s="842"/>
      <c r="IIP1" s="842"/>
      <c r="IIQ1" s="842"/>
      <c r="IIR1" s="842"/>
      <c r="IIS1" s="842"/>
      <c r="IIT1" s="842"/>
      <c r="IIU1" s="842"/>
      <c r="IIV1" s="842"/>
      <c r="IIW1" s="842"/>
      <c r="IIX1" s="842"/>
      <c r="IIY1" s="842"/>
      <c r="IIZ1" s="842"/>
      <c r="IJA1" s="842"/>
      <c r="IJB1" s="842"/>
      <c r="IJC1" s="842"/>
      <c r="IJD1" s="842"/>
      <c r="IJE1" s="842"/>
      <c r="IJF1" s="842"/>
      <c r="IJG1" s="842"/>
      <c r="IJH1" s="842"/>
      <c r="IJI1" s="842"/>
      <c r="IJJ1" s="842"/>
      <c r="IJK1" s="842"/>
      <c r="IJL1" s="842"/>
      <c r="IJM1" s="842"/>
      <c r="IJN1" s="842"/>
      <c r="IJO1" s="842"/>
      <c r="IJP1" s="842"/>
      <c r="IJQ1" s="842"/>
      <c r="IJR1" s="842"/>
      <c r="IJS1" s="842"/>
      <c r="IJT1" s="842"/>
      <c r="IJU1" s="842"/>
      <c r="IJV1" s="842"/>
      <c r="IJW1" s="842"/>
      <c r="IJX1" s="842"/>
      <c r="IJY1" s="842"/>
      <c r="IJZ1" s="842"/>
      <c r="IKA1" s="842"/>
      <c r="IKB1" s="842"/>
      <c r="IKC1" s="842"/>
      <c r="IKD1" s="842"/>
      <c r="IKE1" s="842"/>
      <c r="IKF1" s="842"/>
      <c r="IKG1" s="842"/>
      <c r="IKH1" s="842"/>
      <c r="IKI1" s="842"/>
      <c r="IKJ1" s="842"/>
      <c r="IKK1" s="842"/>
      <c r="IKL1" s="842"/>
      <c r="IKM1" s="842"/>
      <c r="IKN1" s="842"/>
      <c r="IKO1" s="842"/>
      <c r="IKP1" s="842"/>
      <c r="IKQ1" s="842"/>
      <c r="IKR1" s="842"/>
      <c r="IKS1" s="842"/>
      <c r="IKT1" s="842"/>
      <c r="IKU1" s="842"/>
      <c r="IKV1" s="842"/>
      <c r="IKW1" s="842"/>
      <c r="IKX1" s="842"/>
      <c r="IKY1" s="842"/>
      <c r="IKZ1" s="842"/>
      <c r="ILA1" s="842"/>
      <c r="ILB1" s="842"/>
      <c r="ILC1" s="842"/>
      <c r="ILD1" s="842"/>
      <c r="ILE1" s="842"/>
      <c r="ILF1" s="842"/>
      <c r="ILG1" s="842"/>
      <c r="ILH1" s="842"/>
      <c r="ILI1" s="842"/>
      <c r="ILJ1" s="842"/>
      <c r="ILK1" s="842"/>
      <c r="ILL1" s="842"/>
      <c r="ILM1" s="842"/>
      <c r="ILN1" s="842"/>
      <c r="ILO1" s="842"/>
      <c r="ILP1" s="842"/>
      <c r="ILQ1" s="842"/>
      <c r="ILR1" s="842"/>
      <c r="ILS1" s="842"/>
      <c r="ILT1" s="842"/>
      <c r="ILU1" s="842"/>
      <c r="ILV1" s="842"/>
      <c r="ILW1" s="842"/>
      <c r="ILX1" s="842"/>
      <c r="ILY1" s="842"/>
      <c r="ILZ1" s="842"/>
      <c r="IMA1" s="842"/>
      <c r="IMB1" s="842"/>
      <c r="IMC1" s="842"/>
      <c r="IMD1" s="842"/>
      <c r="IME1" s="842"/>
      <c r="IMF1" s="842"/>
      <c r="IMG1" s="842"/>
      <c r="IMH1" s="842"/>
      <c r="IMI1" s="842"/>
      <c r="IMJ1" s="842"/>
      <c r="IMK1" s="842"/>
      <c r="IML1" s="842"/>
      <c r="IMM1" s="842"/>
      <c r="IMN1" s="842"/>
      <c r="IMO1" s="842"/>
      <c r="IMP1" s="842"/>
      <c r="IMQ1" s="842"/>
      <c r="IMR1" s="842"/>
      <c r="IMS1" s="842"/>
      <c r="IMT1" s="842"/>
      <c r="IMU1" s="842"/>
      <c r="IMV1" s="842"/>
      <c r="IMW1" s="842"/>
      <c r="IMX1" s="842"/>
      <c r="IMY1" s="842"/>
      <c r="IMZ1" s="842"/>
      <c r="INA1" s="842"/>
      <c r="INB1" s="842"/>
      <c r="INC1" s="842"/>
      <c r="IND1" s="842"/>
      <c r="INE1" s="842"/>
      <c r="INF1" s="842"/>
      <c r="ING1" s="842"/>
      <c r="INH1" s="842"/>
      <c r="INI1" s="842"/>
      <c r="INJ1" s="842"/>
      <c r="INK1" s="842"/>
      <c r="INL1" s="842"/>
      <c r="INM1" s="842"/>
      <c r="INN1" s="842"/>
      <c r="INO1" s="842"/>
      <c r="INP1" s="842"/>
      <c r="INQ1" s="842"/>
      <c r="INR1" s="842"/>
      <c r="INS1" s="842"/>
      <c r="INT1" s="842"/>
      <c r="INU1" s="842"/>
      <c r="INV1" s="842"/>
      <c r="INW1" s="842"/>
      <c r="INX1" s="842"/>
      <c r="INY1" s="842"/>
      <c r="INZ1" s="842"/>
      <c r="IOA1" s="842"/>
      <c r="IOB1" s="842"/>
      <c r="IOC1" s="842"/>
      <c r="IOD1" s="842"/>
      <c r="IOE1" s="842"/>
      <c r="IOF1" s="842"/>
      <c r="IOG1" s="842"/>
      <c r="IOH1" s="842"/>
      <c r="IOI1" s="842"/>
      <c r="IOJ1" s="842"/>
      <c r="IOK1" s="842"/>
      <c r="IOL1" s="842"/>
      <c r="IOM1" s="842"/>
      <c r="ION1" s="842"/>
      <c r="IOO1" s="842"/>
      <c r="IOP1" s="842"/>
      <c r="IOQ1" s="842"/>
      <c r="IOR1" s="842"/>
      <c r="IOS1" s="842"/>
      <c r="IOT1" s="842"/>
      <c r="IOU1" s="842"/>
      <c r="IOV1" s="842"/>
      <c r="IOW1" s="842"/>
      <c r="IOX1" s="842"/>
      <c r="IOY1" s="842"/>
      <c r="IOZ1" s="842"/>
      <c r="IPA1" s="842"/>
      <c r="IPB1" s="842"/>
      <c r="IPC1" s="842"/>
      <c r="IPD1" s="842"/>
      <c r="IPE1" s="842"/>
      <c r="IPF1" s="842"/>
      <c r="IPG1" s="842"/>
      <c r="IPH1" s="842"/>
      <c r="IPI1" s="842"/>
      <c r="IPJ1" s="842"/>
      <c r="IPK1" s="842"/>
      <c r="IPL1" s="842"/>
      <c r="IPM1" s="842"/>
      <c r="IPN1" s="842"/>
      <c r="IPO1" s="842"/>
      <c r="IPP1" s="842"/>
      <c r="IPQ1" s="842"/>
      <c r="IPR1" s="842"/>
      <c r="IPS1" s="842"/>
      <c r="IPT1" s="842"/>
      <c r="IPU1" s="842"/>
      <c r="IPV1" s="842"/>
      <c r="IPW1" s="842"/>
      <c r="IPX1" s="842"/>
      <c r="IPY1" s="842"/>
      <c r="IPZ1" s="842"/>
      <c r="IQA1" s="842"/>
      <c r="IQB1" s="842"/>
      <c r="IQC1" s="842"/>
      <c r="IQD1" s="842"/>
      <c r="IQE1" s="842"/>
      <c r="IQF1" s="842"/>
      <c r="IQG1" s="842"/>
      <c r="IQH1" s="842"/>
      <c r="IQI1" s="842"/>
      <c r="IQJ1" s="842"/>
      <c r="IQK1" s="842"/>
      <c r="IQL1" s="842"/>
      <c r="IQM1" s="842"/>
      <c r="IQN1" s="842"/>
      <c r="IQO1" s="842"/>
      <c r="IQP1" s="842"/>
      <c r="IQQ1" s="842"/>
      <c r="IQR1" s="842"/>
      <c r="IQS1" s="842"/>
      <c r="IQT1" s="842"/>
      <c r="IQU1" s="842"/>
      <c r="IQV1" s="842"/>
      <c r="IQW1" s="842"/>
      <c r="IQX1" s="842"/>
      <c r="IQY1" s="842"/>
      <c r="IQZ1" s="842"/>
      <c r="IRA1" s="842"/>
      <c r="IRB1" s="842"/>
      <c r="IRC1" s="842"/>
      <c r="IRD1" s="842"/>
      <c r="IRE1" s="842"/>
      <c r="IRF1" s="842"/>
      <c r="IRG1" s="842"/>
      <c r="IRH1" s="842"/>
      <c r="IRI1" s="842"/>
      <c r="IRJ1" s="842"/>
      <c r="IRK1" s="842"/>
      <c r="IRL1" s="842"/>
      <c r="IRM1" s="842"/>
      <c r="IRN1" s="842"/>
      <c r="IRO1" s="842"/>
      <c r="IRP1" s="842"/>
      <c r="IRQ1" s="842"/>
      <c r="IRR1" s="842"/>
      <c r="IRS1" s="842"/>
      <c r="IRT1" s="842"/>
      <c r="IRU1" s="842"/>
      <c r="IRV1" s="842"/>
      <c r="IRW1" s="842"/>
      <c r="IRX1" s="842"/>
      <c r="IRY1" s="842"/>
      <c r="IRZ1" s="842"/>
      <c r="ISA1" s="842"/>
      <c r="ISB1" s="842"/>
      <c r="ISC1" s="842"/>
      <c r="ISD1" s="842"/>
      <c r="ISE1" s="842"/>
      <c r="ISF1" s="842"/>
      <c r="ISG1" s="842"/>
      <c r="ISH1" s="842"/>
      <c r="ISI1" s="842"/>
      <c r="ISJ1" s="842"/>
      <c r="ISK1" s="842"/>
      <c r="ISL1" s="842"/>
      <c r="ISM1" s="842"/>
      <c r="ISN1" s="842"/>
      <c r="ISO1" s="842"/>
      <c r="ISP1" s="842"/>
      <c r="ISQ1" s="842"/>
      <c r="ISR1" s="842"/>
      <c r="ISS1" s="842"/>
      <c r="IST1" s="842"/>
      <c r="ISU1" s="842"/>
      <c r="ISV1" s="842"/>
      <c r="ISW1" s="842"/>
      <c r="ISX1" s="842"/>
      <c r="ISY1" s="842"/>
      <c r="ISZ1" s="842"/>
      <c r="ITA1" s="842"/>
      <c r="ITB1" s="842"/>
      <c r="ITC1" s="842"/>
      <c r="ITD1" s="842"/>
      <c r="ITE1" s="842"/>
      <c r="ITF1" s="842"/>
      <c r="ITG1" s="842"/>
      <c r="ITH1" s="842"/>
      <c r="ITI1" s="842"/>
      <c r="ITJ1" s="842"/>
      <c r="ITK1" s="842"/>
      <c r="ITL1" s="842"/>
      <c r="ITM1" s="842"/>
      <c r="ITN1" s="842"/>
      <c r="ITO1" s="842"/>
      <c r="ITP1" s="842"/>
      <c r="ITQ1" s="842"/>
      <c r="ITR1" s="842"/>
      <c r="ITS1" s="842"/>
      <c r="ITT1" s="842"/>
      <c r="ITU1" s="842"/>
      <c r="ITV1" s="842"/>
      <c r="ITW1" s="842"/>
      <c r="ITX1" s="842"/>
      <c r="ITY1" s="842"/>
      <c r="ITZ1" s="842"/>
      <c r="IUA1" s="842"/>
      <c r="IUB1" s="842"/>
      <c r="IUC1" s="842"/>
      <c r="IUD1" s="842"/>
      <c r="IUE1" s="842"/>
      <c r="IUF1" s="842"/>
      <c r="IUG1" s="842"/>
      <c r="IUH1" s="842"/>
      <c r="IUI1" s="842"/>
      <c r="IUJ1" s="842"/>
      <c r="IUK1" s="842"/>
      <c r="IUL1" s="842"/>
      <c r="IUM1" s="842"/>
      <c r="IUN1" s="842"/>
      <c r="IUO1" s="842"/>
      <c r="IUP1" s="842"/>
      <c r="IUQ1" s="842"/>
      <c r="IUR1" s="842"/>
      <c r="IUS1" s="842"/>
      <c r="IUT1" s="842"/>
      <c r="IUU1" s="842"/>
      <c r="IUV1" s="842"/>
      <c r="IUW1" s="842"/>
      <c r="IUX1" s="842"/>
      <c r="IUY1" s="842"/>
      <c r="IUZ1" s="842"/>
      <c r="IVA1" s="842"/>
      <c r="IVB1" s="842"/>
      <c r="IVC1" s="842"/>
      <c r="IVD1" s="842"/>
      <c r="IVE1" s="842"/>
      <c r="IVF1" s="842"/>
      <c r="IVG1" s="842"/>
      <c r="IVH1" s="842"/>
      <c r="IVI1" s="842"/>
      <c r="IVJ1" s="842"/>
      <c r="IVK1" s="842"/>
      <c r="IVL1" s="842"/>
      <c r="IVM1" s="842"/>
      <c r="IVN1" s="842"/>
      <c r="IVO1" s="842"/>
      <c r="IVP1" s="842"/>
      <c r="IVQ1" s="842"/>
      <c r="IVR1" s="842"/>
      <c r="IVS1" s="842"/>
      <c r="IVT1" s="842"/>
      <c r="IVU1" s="842"/>
      <c r="IVV1" s="842"/>
      <c r="IVW1" s="842"/>
      <c r="IVX1" s="842"/>
      <c r="IVY1" s="842"/>
      <c r="IVZ1" s="842"/>
      <c r="IWA1" s="842"/>
      <c r="IWB1" s="842"/>
      <c r="IWC1" s="842"/>
      <c r="IWD1" s="842"/>
      <c r="IWE1" s="842"/>
      <c r="IWF1" s="842"/>
      <c r="IWG1" s="842"/>
      <c r="IWH1" s="842"/>
      <c r="IWI1" s="842"/>
      <c r="IWJ1" s="842"/>
      <c r="IWK1" s="842"/>
      <c r="IWL1" s="842"/>
      <c r="IWM1" s="842"/>
      <c r="IWN1" s="842"/>
      <c r="IWO1" s="842"/>
      <c r="IWP1" s="842"/>
      <c r="IWQ1" s="842"/>
      <c r="IWR1" s="842"/>
      <c r="IWS1" s="842"/>
      <c r="IWT1" s="842"/>
      <c r="IWU1" s="842"/>
      <c r="IWV1" s="842"/>
      <c r="IWW1" s="842"/>
      <c r="IWX1" s="842"/>
      <c r="IWY1" s="842"/>
      <c r="IWZ1" s="842"/>
      <c r="IXA1" s="842"/>
      <c r="IXB1" s="842"/>
      <c r="IXC1" s="842"/>
      <c r="IXD1" s="842"/>
      <c r="IXE1" s="842"/>
      <c r="IXF1" s="842"/>
      <c r="IXG1" s="842"/>
      <c r="IXH1" s="842"/>
      <c r="IXI1" s="842"/>
      <c r="IXJ1" s="842"/>
      <c r="IXK1" s="842"/>
      <c r="IXL1" s="842"/>
      <c r="IXM1" s="842"/>
      <c r="IXN1" s="842"/>
      <c r="IXO1" s="842"/>
      <c r="IXP1" s="842"/>
      <c r="IXQ1" s="842"/>
      <c r="IXR1" s="842"/>
      <c r="IXS1" s="842"/>
      <c r="IXT1" s="842"/>
      <c r="IXU1" s="842"/>
      <c r="IXV1" s="842"/>
      <c r="IXW1" s="842"/>
      <c r="IXX1" s="842"/>
      <c r="IXY1" s="842"/>
      <c r="IXZ1" s="842"/>
      <c r="IYA1" s="842"/>
      <c r="IYB1" s="842"/>
      <c r="IYC1" s="842"/>
      <c r="IYD1" s="842"/>
      <c r="IYE1" s="842"/>
      <c r="IYF1" s="842"/>
      <c r="IYG1" s="842"/>
      <c r="IYH1" s="842"/>
      <c r="IYI1" s="842"/>
      <c r="IYJ1" s="842"/>
      <c r="IYK1" s="842"/>
      <c r="IYL1" s="842"/>
      <c r="IYM1" s="842"/>
      <c r="IYN1" s="842"/>
      <c r="IYO1" s="842"/>
      <c r="IYP1" s="842"/>
      <c r="IYQ1" s="842"/>
      <c r="IYR1" s="842"/>
      <c r="IYS1" s="842"/>
      <c r="IYT1" s="842"/>
      <c r="IYU1" s="842"/>
      <c r="IYV1" s="842"/>
      <c r="IYW1" s="842"/>
      <c r="IYX1" s="842"/>
      <c r="IYY1" s="842"/>
      <c r="IYZ1" s="842"/>
      <c r="IZA1" s="842"/>
      <c r="IZB1" s="842"/>
      <c r="IZC1" s="842"/>
      <c r="IZD1" s="842"/>
      <c r="IZE1" s="842"/>
      <c r="IZF1" s="842"/>
      <c r="IZG1" s="842"/>
      <c r="IZH1" s="842"/>
      <c r="IZI1" s="842"/>
      <c r="IZJ1" s="842"/>
      <c r="IZK1" s="842"/>
      <c r="IZL1" s="842"/>
      <c r="IZM1" s="842"/>
      <c r="IZN1" s="842"/>
      <c r="IZO1" s="842"/>
      <c r="IZP1" s="842"/>
      <c r="IZQ1" s="842"/>
      <c r="IZR1" s="842"/>
      <c r="IZS1" s="842"/>
      <c r="IZT1" s="842"/>
      <c r="IZU1" s="842"/>
      <c r="IZV1" s="842"/>
      <c r="IZW1" s="842"/>
      <c r="IZX1" s="842"/>
      <c r="IZY1" s="842"/>
      <c r="IZZ1" s="842"/>
      <c r="JAA1" s="842"/>
      <c r="JAB1" s="842"/>
      <c r="JAC1" s="842"/>
      <c r="JAD1" s="842"/>
      <c r="JAE1" s="842"/>
      <c r="JAF1" s="842"/>
      <c r="JAG1" s="842"/>
      <c r="JAH1" s="842"/>
      <c r="JAI1" s="842"/>
      <c r="JAJ1" s="842"/>
      <c r="JAK1" s="842"/>
      <c r="JAL1" s="842"/>
      <c r="JAM1" s="842"/>
      <c r="JAN1" s="842"/>
      <c r="JAO1" s="842"/>
      <c r="JAP1" s="842"/>
      <c r="JAQ1" s="842"/>
      <c r="JAR1" s="842"/>
      <c r="JAS1" s="842"/>
      <c r="JAT1" s="842"/>
      <c r="JAU1" s="842"/>
      <c r="JAV1" s="842"/>
      <c r="JAW1" s="842"/>
      <c r="JAX1" s="842"/>
      <c r="JAY1" s="842"/>
      <c r="JAZ1" s="842"/>
      <c r="JBA1" s="842"/>
      <c r="JBB1" s="842"/>
      <c r="JBC1" s="842"/>
      <c r="JBD1" s="842"/>
      <c r="JBE1" s="842"/>
      <c r="JBF1" s="842"/>
      <c r="JBG1" s="842"/>
      <c r="JBH1" s="842"/>
      <c r="JBI1" s="842"/>
      <c r="JBJ1" s="842"/>
      <c r="JBK1" s="842"/>
      <c r="JBL1" s="842"/>
      <c r="JBM1" s="842"/>
      <c r="JBN1" s="842"/>
      <c r="JBO1" s="842"/>
      <c r="JBP1" s="842"/>
      <c r="JBQ1" s="842"/>
      <c r="JBR1" s="842"/>
      <c r="JBS1" s="842"/>
      <c r="JBT1" s="842"/>
      <c r="JBU1" s="842"/>
      <c r="JBV1" s="842"/>
      <c r="JBW1" s="842"/>
      <c r="JBX1" s="842"/>
      <c r="JBY1" s="842"/>
      <c r="JBZ1" s="842"/>
      <c r="JCA1" s="842"/>
      <c r="JCB1" s="842"/>
      <c r="JCC1" s="842"/>
      <c r="JCD1" s="842"/>
      <c r="JCE1" s="842"/>
      <c r="JCF1" s="842"/>
      <c r="JCG1" s="842"/>
      <c r="JCH1" s="842"/>
      <c r="JCI1" s="842"/>
      <c r="JCJ1" s="842"/>
      <c r="JCK1" s="842"/>
      <c r="JCL1" s="842"/>
      <c r="JCM1" s="842"/>
      <c r="JCN1" s="842"/>
      <c r="JCO1" s="842"/>
      <c r="JCP1" s="842"/>
      <c r="JCQ1" s="842"/>
      <c r="JCR1" s="842"/>
      <c r="JCS1" s="842"/>
      <c r="JCT1" s="842"/>
      <c r="JCU1" s="842"/>
      <c r="JCV1" s="842"/>
      <c r="JCW1" s="842"/>
      <c r="JCX1" s="842"/>
      <c r="JCY1" s="842"/>
      <c r="JCZ1" s="842"/>
      <c r="JDA1" s="842"/>
      <c r="JDB1" s="842"/>
      <c r="JDC1" s="842"/>
      <c r="JDD1" s="842"/>
      <c r="JDE1" s="842"/>
      <c r="JDF1" s="842"/>
      <c r="JDG1" s="842"/>
      <c r="JDH1" s="842"/>
      <c r="JDI1" s="842"/>
      <c r="JDJ1" s="842"/>
      <c r="JDK1" s="842"/>
      <c r="JDL1" s="842"/>
      <c r="JDM1" s="842"/>
      <c r="JDN1" s="842"/>
      <c r="JDO1" s="842"/>
      <c r="JDP1" s="842"/>
      <c r="JDQ1" s="842"/>
      <c r="JDR1" s="842"/>
      <c r="JDS1" s="842"/>
      <c r="JDT1" s="842"/>
      <c r="JDU1" s="842"/>
      <c r="JDV1" s="842"/>
      <c r="JDW1" s="842"/>
      <c r="JDX1" s="842"/>
      <c r="JDY1" s="842"/>
      <c r="JDZ1" s="842"/>
      <c r="JEA1" s="842"/>
      <c r="JEB1" s="842"/>
      <c r="JEC1" s="842"/>
      <c r="JED1" s="842"/>
      <c r="JEE1" s="842"/>
      <c r="JEF1" s="842"/>
      <c r="JEG1" s="842"/>
      <c r="JEH1" s="842"/>
      <c r="JEI1" s="842"/>
      <c r="JEJ1" s="842"/>
      <c r="JEK1" s="842"/>
      <c r="JEL1" s="842"/>
      <c r="JEM1" s="842"/>
      <c r="JEN1" s="842"/>
      <c r="JEO1" s="842"/>
      <c r="JEP1" s="842"/>
      <c r="JEQ1" s="842"/>
      <c r="JER1" s="842"/>
      <c r="JES1" s="842"/>
      <c r="JET1" s="842"/>
      <c r="JEU1" s="842"/>
      <c r="JEV1" s="842"/>
      <c r="JEW1" s="842"/>
      <c r="JEX1" s="842"/>
      <c r="JEY1" s="842"/>
      <c r="JEZ1" s="842"/>
      <c r="JFA1" s="842"/>
      <c r="JFB1" s="842"/>
      <c r="JFC1" s="842"/>
      <c r="JFD1" s="842"/>
      <c r="JFE1" s="842"/>
      <c r="JFF1" s="842"/>
      <c r="JFG1" s="842"/>
      <c r="JFH1" s="842"/>
      <c r="JFI1" s="842"/>
      <c r="JFJ1" s="842"/>
      <c r="JFK1" s="842"/>
      <c r="JFL1" s="842"/>
      <c r="JFM1" s="842"/>
      <c r="JFN1" s="842"/>
      <c r="JFO1" s="842"/>
      <c r="JFP1" s="842"/>
      <c r="JFQ1" s="842"/>
      <c r="JFR1" s="842"/>
      <c r="JFS1" s="842"/>
      <c r="JFT1" s="842"/>
      <c r="JFU1" s="842"/>
      <c r="JFV1" s="842"/>
      <c r="JFW1" s="842"/>
      <c r="JFX1" s="842"/>
      <c r="JFY1" s="842"/>
      <c r="JFZ1" s="842"/>
      <c r="JGA1" s="842"/>
      <c r="JGB1" s="842"/>
      <c r="JGC1" s="842"/>
      <c r="JGD1" s="842"/>
      <c r="JGE1" s="842"/>
      <c r="JGF1" s="842"/>
      <c r="JGG1" s="842"/>
      <c r="JGH1" s="842"/>
      <c r="JGI1" s="842"/>
      <c r="JGJ1" s="842"/>
      <c r="JGK1" s="842"/>
      <c r="JGL1" s="842"/>
      <c r="JGM1" s="842"/>
      <c r="JGN1" s="842"/>
      <c r="JGO1" s="842"/>
      <c r="JGP1" s="842"/>
      <c r="JGQ1" s="842"/>
      <c r="JGR1" s="842"/>
      <c r="JGS1" s="842"/>
      <c r="JGT1" s="842"/>
      <c r="JGU1" s="842"/>
      <c r="JGV1" s="842"/>
      <c r="JGW1" s="842"/>
      <c r="JGX1" s="842"/>
      <c r="JGY1" s="842"/>
      <c r="JGZ1" s="842"/>
      <c r="JHA1" s="842"/>
      <c r="JHB1" s="842"/>
      <c r="JHC1" s="842"/>
      <c r="JHD1" s="842"/>
      <c r="JHE1" s="842"/>
      <c r="JHF1" s="842"/>
      <c r="JHG1" s="842"/>
      <c r="JHH1" s="842"/>
      <c r="JHI1" s="842"/>
      <c r="JHJ1" s="842"/>
      <c r="JHK1" s="842"/>
      <c r="JHL1" s="842"/>
      <c r="JHM1" s="842"/>
      <c r="JHN1" s="842"/>
      <c r="JHO1" s="842"/>
      <c r="JHP1" s="842"/>
      <c r="JHQ1" s="842"/>
      <c r="JHR1" s="842"/>
      <c r="JHS1" s="842"/>
      <c r="JHT1" s="842"/>
      <c r="JHU1" s="842"/>
      <c r="JHV1" s="842"/>
      <c r="JHW1" s="842"/>
      <c r="JHX1" s="842"/>
      <c r="JHY1" s="842"/>
      <c r="JHZ1" s="842"/>
      <c r="JIA1" s="842"/>
      <c r="JIB1" s="842"/>
      <c r="JIC1" s="842"/>
      <c r="JID1" s="842"/>
      <c r="JIE1" s="842"/>
      <c r="JIF1" s="842"/>
      <c r="JIG1" s="842"/>
      <c r="JIH1" s="842"/>
      <c r="JII1" s="842"/>
      <c r="JIJ1" s="842"/>
      <c r="JIK1" s="842"/>
      <c r="JIL1" s="842"/>
      <c r="JIM1" s="842"/>
      <c r="JIN1" s="842"/>
      <c r="JIO1" s="842"/>
      <c r="JIP1" s="842"/>
      <c r="JIQ1" s="842"/>
      <c r="JIR1" s="842"/>
      <c r="JIS1" s="842"/>
      <c r="JIT1" s="842"/>
      <c r="JIU1" s="842"/>
      <c r="JIV1" s="842"/>
      <c r="JIW1" s="842"/>
      <c r="JIX1" s="842"/>
      <c r="JIY1" s="842"/>
      <c r="JIZ1" s="842"/>
      <c r="JJA1" s="842"/>
      <c r="JJB1" s="842"/>
      <c r="JJC1" s="842"/>
      <c r="JJD1" s="842"/>
      <c r="JJE1" s="842"/>
      <c r="JJF1" s="842"/>
      <c r="JJG1" s="842"/>
      <c r="JJH1" s="842"/>
      <c r="JJI1" s="842"/>
      <c r="JJJ1" s="842"/>
      <c r="JJK1" s="842"/>
      <c r="JJL1" s="842"/>
      <c r="JJM1" s="842"/>
      <c r="JJN1" s="842"/>
      <c r="JJO1" s="842"/>
      <c r="JJP1" s="842"/>
      <c r="JJQ1" s="842"/>
      <c r="JJR1" s="842"/>
      <c r="JJS1" s="842"/>
      <c r="JJT1" s="842"/>
      <c r="JJU1" s="842"/>
      <c r="JJV1" s="842"/>
      <c r="JJW1" s="842"/>
      <c r="JJX1" s="842"/>
      <c r="JJY1" s="842"/>
      <c r="JJZ1" s="842"/>
      <c r="JKA1" s="842"/>
      <c r="JKB1" s="842"/>
      <c r="JKC1" s="842"/>
      <c r="JKD1" s="842"/>
      <c r="JKE1" s="842"/>
      <c r="JKF1" s="842"/>
      <c r="JKG1" s="842"/>
      <c r="JKH1" s="842"/>
      <c r="JKI1" s="842"/>
      <c r="JKJ1" s="842"/>
      <c r="JKK1" s="842"/>
      <c r="JKL1" s="842"/>
      <c r="JKM1" s="842"/>
      <c r="JKN1" s="842"/>
      <c r="JKO1" s="842"/>
      <c r="JKP1" s="842"/>
      <c r="JKQ1" s="842"/>
      <c r="JKR1" s="842"/>
      <c r="JKS1" s="842"/>
      <c r="JKT1" s="842"/>
      <c r="JKU1" s="842"/>
      <c r="JKV1" s="842"/>
      <c r="JKW1" s="842"/>
      <c r="JKX1" s="842"/>
      <c r="JKY1" s="842"/>
      <c r="JKZ1" s="842"/>
      <c r="JLA1" s="842"/>
      <c r="JLB1" s="842"/>
      <c r="JLC1" s="842"/>
      <c r="JLD1" s="842"/>
      <c r="JLE1" s="842"/>
      <c r="JLF1" s="842"/>
      <c r="JLG1" s="842"/>
      <c r="JLH1" s="842"/>
      <c r="JLI1" s="842"/>
      <c r="JLJ1" s="842"/>
      <c r="JLK1" s="842"/>
      <c r="JLL1" s="842"/>
      <c r="JLM1" s="842"/>
      <c r="JLN1" s="842"/>
      <c r="JLO1" s="842"/>
      <c r="JLP1" s="842"/>
      <c r="JLQ1" s="842"/>
      <c r="JLR1" s="842"/>
      <c r="JLS1" s="842"/>
      <c r="JLT1" s="842"/>
      <c r="JLU1" s="842"/>
      <c r="JLV1" s="842"/>
      <c r="JLW1" s="842"/>
      <c r="JLX1" s="842"/>
      <c r="JLY1" s="842"/>
      <c r="JLZ1" s="842"/>
      <c r="JMA1" s="842"/>
      <c r="JMB1" s="842"/>
      <c r="JMC1" s="842"/>
      <c r="JMD1" s="842"/>
      <c r="JME1" s="842"/>
      <c r="JMF1" s="842"/>
      <c r="JMG1" s="842"/>
      <c r="JMH1" s="842"/>
      <c r="JMI1" s="842"/>
      <c r="JMJ1" s="842"/>
      <c r="JMK1" s="842"/>
      <c r="JML1" s="842"/>
      <c r="JMM1" s="842"/>
      <c r="JMN1" s="842"/>
      <c r="JMO1" s="842"/>
      <c r="JMP1" s="842"/>
      <c r="JMQ1" s="842"/>
      <c r="JMR1" s="842"/>
      <c r="JMS1" s="842"/>
      <c r="JMT1" s="842"/>
      <c r="JMU1" s="842"/>
      <c r="JMV1" s="842"/>
      <c r="JMW1" s="842"/>
      <c r="JMX1" s="842"/>
      <c r="JMY1" s="842"/>
      <c r="JMZ1" s="842"/>
      <c r="JNA1" s="842"/>
      <c r="JNB1" s="842"/>
      <c r="JNC1" s="842"/>
      <c r="JND1" s="842"/>
      <c r="JNE1" s="842"/>
      <c r="JNF1" s="842"/>
      <c r="JNG1" s="842"/>
      <c r="JNH1" s="842"/>
      <c r="JNI1" s="842"/>
      <c r="JNJ1" s="842"/>
      <c r="JNK1" s="842"/>
      <c r="JNL1" s="842"/>
      <c r="JNM1" s="842"/>
      <c r="JNN1" s="842"/>
      <c r="JNO1" s="842"/>
      <c r="JNP1" s="842"/>
      <c r="JNQ1" s="842"/>
      <c r="JNR1" s="842"/>
      <c r="JNS1" s="842"/>
      <c r="JNT1" s="842"/>
      <c r="JNU1" s="842"/>
      <c r="JNV1" s="842"/>
      <c r="JNW1" s="842"/>
      <c r="JNX1" s="842"/>
      <c r="JNY1" s="842"/>
      <c r="JNZ1" s="842"/>
      <c r="JOA1" s="842"/>
      <c r="JOB1" s="842"/>
      <c r="JOC1" s="842"/>
      <c r="JOD1" s="842"/>
      <c r="JOE1" s="842"/>
      <c r="JOF1" s="842"/>
      <c r="JOG1" s="842"/>
      <c r="JOH1" s="842"/>
      <c r="JOI1" s="842"/>
      <c r="JOJ1" s="842"/>
      <c r="JOK1" s="842"/>
      <c r="JOL1" s="842"/>
      <c r="JOM1" s="842"/>
      <c r="JON1" s="842"/>
      <c r="JOO1" s="842"/>
      <c r="JOP1" s="842"/>
      <c r="JOQ1" s="842"/>
      <c r="JOR1" s="842"/>
      <c r="JOS1" s="842"/>
      <c r="JOT1" s="842"/>
      <c r="JOU1" s="842"/>
      <c r="JOV1" s="842"/>
      <c r="JOW1" s="842"/>
      <c r="JOX1" s="842"/>
      <c r="JOY1" s="842"/>
      <c r="JOZ1" s="842"/>
      <c r="JPA1" s="842"/>
      <c r="JPB1" s="842"/>
      <c r="JPC1" s="842"/>
      <c r="JPD1" s="842"/>
      <c r="JPE1" s="842"/>
      <c r="JPF1" s="842"/>
      <c r="JPG1" s="842"/>
      <c r="JPH1" s="842"/>
      <c r="JPI1" s="842"/>
      <c r="JPJ1" s="842"/>
      <c r="JPK1" s="842"/>
      <c r="JPL1" s="842"/>
      <c r="JPM1" s="842"/>
      <c r="JPN1" s="842"/>
      <c r="JPO1" s="842"/>
      <c r="JPP1" s="842"/>
      <c r="JPQ1" s="842"/>
      <c r="JPR1" s="842"/>
      <c r="JPS1" s="842"/>
      <c r="JPT1" s="842"/>
      <c r="JPU1" s="842"/>
      <c r="JPV1" s="842"/>
      <c r="JPW1" s="842"/>
      <c r="JPX1" s="842"/>
      <c r="JPY1" s="842"/>
      <c r="JPZ1" s="842"/>
      <c r="JQA1" s="842"/>
      <c r="JQB1" s="842"/>
      <c r="JQC1" s="842"/>
      <c r="JQD1" s="842"/>
      <c r="JQE1" s="842"/>
      <c r="JQF1" s="842"/>
      <c r="JQG1" s="842"/>
      <c r="JQH1" s="842"/>
      <c r="JQI1" s="842"/>
      <c r="JQJ1" s="842"/>
      <c r="JQK1" s="842"/>
      <c r="JQL1" s="842"/>
      <c r="JQM1" s="842"/>
      <c r="JQN1" s="842"/>
      <c r="JQO1" s="842"/>
      <c r="JQP1" s="842"/>
      <c r="JQQ1" s="842"/>
      <c r="JQR1" s="842"/>
      <c r="JQS1" s="842"/>
      <c r="JQT1" s="842"/>
      <c r="JQU1" s="842"/>
      <c r="JQV1" s="842"/>
      <c r="JQW1" s="842"/>
      <c r="JQX1" s="842"/>
      <c r="JQY1" s="842"/>
      <c r="JQZ1" s="842"/>
      <c r="JRA1" s="842"/>
      <c r="JRB1" s="842"/>
      <c r="JRC1" s="842"/>
      <c r="JRD1" s="842"/>
      <c r="JRE1" s="842"/>
      <c r="JRF1" s="842"/>
      <c r="JRG1" s="842"/>
      <c r="JRH1" s="842"/>
      <c r="JRI1" s="842"/>
      <c r="JRJ1" s="842"/>
      <c r="JRK1" s="842"/>
      <c r="JRL1" s="842"/>
      <c r="JRM1" s="842"/>
      <c r="JRN1" s="842"/>
      <c r="JRO1" s="842"/>
      <c r="JRP1" s="842"/>
      <c r="JRQ1" s="842"/>
      <c r="JRR1" s="842"/>
      <c r="JRS1" s="842"/>
      <c r="JRT1" s="842"/>
      <c r="JRU1" s="842"/>
      <c r="JRV1" s="842"/>
      <c r="JRW1" s="842"/>
      <c r="JRX1" s="842"/>
      <c r="JRY1" s="842"/>
      <c r="JRZ1" s="842"/>
      <c r="JSA1" s="842"/>
      <c r="JSB1" s="842"/>
      <c r="JSC1" s="842"/>
      <c r="JSD1" s="842"/>
      <c r="JSE1" s="842"/>
      <c r="JSF1" s="842"/>
      <c r="JSG1" s="842"/>
      <c r="JSH1" s="842"/>
      <c r="JSI1" s="842"/>
      <c r="JSJ1" s="842"/>
      <c r="JSK1" s="842"/>
      <c r="JSL1" s="842"/>
      <c r="JSM1" s="842"/>
      <c r="JSN1" s="842"/>
      <c r="JSO1" s="842"/>
      <c r="JSP1" s="842"/>
      <c r="JSQ1" s="842"/>
      <c r="JSR1" s="842"/>
      <c r="JSS1" s="842"/>
      <c r="JST1" s="842"/>
      <c r="JSU1" s="842"/>
      <c r="JSV1" s="842"/>
      <c r="JSW1" s="842"/>
      <c r="JSX1" s="842"/>
      <c r="JSY1" s="842"/>
      <c r="JSZ1" s="842"/>
      <c r="JTA1" s="842"/>
      <c r="JTB1" s="842"/>
      <c r="JTC1" s="842"/>
      <c r="JTD1" s="842"/>
      <c r="JTE1" s="842"/>
      <c r="JTF1" s="842"/>
      <c r="JTG1" s="842"/>
      <c r="JTH1" s="842"/>
      <c r="JTI1" s="842"/>
      <c r="JTJ1" s="842"/>
      <c r="JTK1" s="842"/>
      <c r="JTL1" s="842"/>
      <c r="JTM1" s="842"/>
      <c r="JTN1" s="842"/>
      <c r="JTO1" s="842"/>
      <c r="JTP1" s="842"/>
      <c r="JTQ1" s="842"/>
      <c r="JTR1" s="842"/>
      <c r="JTS1" s="842"/>
      <c r="JTT1" s="842"/>
      <c r="JTU1" s="842"/>
      <c r="JTV1" s="842"/>
      <c r="JTW1" s="842"/>
      <c r="JTX1" s="842"/>
      <c r="JTY1" s="842"/>
      <c r="JTZ1" s="842"/>
      <c r="JUA1" s="842"/>
      <c r="JUB1" s="842"/>
      <c r="JUC1" s="842"/>
      <c r="JUD1" s="842"/>
      <c r="JUE1" s="842"/>
      <c r="JUF1" s="842"/>
      <c r="JUG1" s="842"/>
      <c r="JUH1" s="842"/>
      <c r="JUI1" s="842"/>
      <c r="JUJ1" s="842"/>
      <c r="JUK1" s="842"/>
      <c r="JUL1" s="842"/>
      <c r="JUM1" s="842"/>
      <c r="JUN1" s="842"/>
      <c r="JUO1" s="842"/>
      <c r="JUP1" s="842"/>
      <c r="JUQ1" s="842"/>
      <c r="JUR1" s="842"/>
      <c r="JUS1" s="842"/>
      <c r="JUT1" s="842"/>
      <c r="JUU1" s="842"/>
      <c r="JUV1" s="842"/>
      <c r="JUW1" s="842"/>
      <c r="JUX1" s="842"/>
      <c r="JUY1" s="842"/>
      <c r="JUZ1" s="842"/>
      <c r="JVA1" s="842"/>
      <c r="JVB1" s="842"/>
      <c r="JVC1" s="842"/>
      <c r="JVD1" s="842"/>
      <c r="JVE1" s="842"/>
      <c r="JVF1" s="842"/>
      <c r="JVG1" s="842"/>
      <c r="JVH1" s="842"/>
      <c r="JVI1" s="842"/>
      <c r="JVJ1" s="842"/>
      <c r="JVK1" s="842"/>
      <c r="JVL1" s="842"/>
      <c r="JVM1" s="842"/>
      <c r="JVN1" s="842"/>
      <c r="JVO1" s="842"/>
      <c r="JVP1" s="842"/>
      <c r="JVQ1" s="842"/>
      <c r="JVR1" s="842"/>
      <c r="JVS1" s="842"/>
      <c r="JVT1" s="842"/>
      <c r="JVU1" s="842"/>
      <c r="JVV1" s="842"/>
      <c r="JVW1" s="842"/>
      <c r="JVX1" s="842"/>
      <c r="JVY1" s="842"/>
      <c r="JVZ1" s="842"/>
      <c r="JWA1" s="842"/>
      <c r="JWB1" s="842"/>
      <c r="JWC1" s="842"/>
      <c r="JWD1" s="842"/>
      <c r="JWE1" s="842"/>
      <c r="JWF1" s="842"/>
      <c r="JWG1" s="842"/>
      <c r="JWH1" s="842"/>
      <c r="JWI1" s="842"/>
      <c r="JWJ1" s="842"/>
      <c r="JWK1" s="842"/>
      <c r="JWL1" s="842"/>
      <c r="JWM1" s="842"/>
      <c r="JWN1" s="842"/>
      <c r="JWO1" s="842"/>
      <c r="JWP1" s="842"/>
      <c r="JWQ1" s="842"/>
      <c r="JWR1" s="842"/>
      <c r="JWS1" s="842"/>
      <c r="JWT1" s="842"/>
      <c r="JWU1" s="842"/>
      <c r="JWV1" s="842"/>
      <c r="JWW1" s="842"/>
      <c r="JWX1" s="842"/>
      <c r="JWY1" s="842"/>
      <c r="JWZ1" s="842"/>
      <c r="JXA1" s="842"/>
      <c r="JXB1" s="842"/>
      <c r="JXC1" s="842"/>
      <c r="JXD1" s="842"/>
      <c r="JXE1" s="842"/>
      <c r="JXF1" s="842"/>
      <c r="JXG1" s="842"/>
      <c r="JXH1" s="842"/>
      <c r="JXI1" s="842"/>
      <c r="JXJ1" s="842"/>
      <c r="JXK1" s="842"/>
      <c r="JXL1" s="842"/>
      <c r="JXM1" s="842"/>
      <c r="JXN1" s="842"/>
      <c r="JXO1" s="842"/>
      <c r="JXP1" s="842"/>
      <c r="JXQ1" s="842"/>
      <c r="JXR1" s="842"/>
      <c r="JXS1" s="842"/>
      <c r="JXT1" s="842"/>
      <c r="JXU1" s="842"/>
      <c r="JXV1" s="842"/>
      <c r="JXW1" s="842"/>
      <c r="JXX1" s="842"/>
      <c r="JXY1" s="842"/>
      <c r="JXZ1" s="842"/>
      <c r="JYA1" s="842"/>
      <c r="JYB1" s="842"/>
      <c r="JYC1" s="842"/>
      <c r="JYD1" s="842"/>
      <c r="JYE1" s="842"/>
      <c r="JYF1" s="842"/>
      <c r="JYG1" s="842"/>
      <c r="JYH1" s="842"/>
      <c r="JYI1" s="842"/>
      <c r="JYJ1" s="842"/>
      <c r="JYK1" s="842"/>
      <c r="JYL1" s="842"/>
      <c r="JYM1" s="842"/>
      <c r="JYN1" s="842"/>
      <c r="JYO1" s="842"/>
      <c r="JYP1" s="842"/>
      <c r="JYQ1" s="842"/>
      <c r="JYR1" s="842"/>
      <c r="JYS1" s="842"/>
      <c r="JYT1" s="842"/>
      <c r="JYU1" s="842"/>
      <c r="JYV1" s="842"/>
      <c r="JYW1" s="842"/>
      <c r="JYX1" s="842"/>
      <c r="JYY1" s="842"/>
      <c r="JYZ1" s="842"/>
      <c r="JZA1" s="842"/>
      <c r="JZB1" s="842"/>
      <c r="JZC1" s="842"/>
      <c r="JZD1" s="842"/>
      <c r="JZE1" s="842"/>
      <c r="JZF1" s="842"/>
      <c r="JZG1" s="842"/>
      <c r="JZH1" s="842"/>
      <c r="JZI1" s="842"/>
      <c r="JZJ1" s="842"/>
      <c r="JZK1" s="842"/>
      <c r="JZL1" s="842"/>
      <c r="JZM1" s="842"/>
      <c r="JZN1" s="842"/>
      <c r="JZO1" s="842"/>
      <c r="JZP1" s="842"/>
      <c r="JZQ1" s="842"/>
      <c r="JZR1" s="842"/>
      <c r="JZS1" s="842"/>
      <c r="JZT1" s="842"/>
      <c r="JZU1" s="842"/>
      <c r="JZV1" s="842"/>
      <c r="JZW1" s="842"/>
      <c r="JZX1" s="842"/>
      <c r="JZY1" s="842"/>
      <c r="JZZ1" s="842"/>
      <c r="KAA1" s="842"/>
      <c r="KAB1" s="842"/>
      <c r="KAC1" s="842"/>
      <c r="KAD1" s="842"/>
      <c r="KAE1" s="842"/>
      <c r="KAF1" s="842"/>
      <c r="KAG1" s="842"/>
      <c r="KAH1" s="842"/>
      <c r="KAI1" s="842"/>
      <c r="KAJ1" s="842"/>
      <c r="KAK1" s="842"/>
      <c r="KAL1" s="842"/>
      <c r="KAM1" s="842"/>
      <c r="KAN1" s="842"/>
      <c r="KAO1" s="842"/>
      <c r="KAP1" s="842"/>
      <c r="KAQ1" s="842"/>
      <c r="KAR1" s="842"/>
      <c r="KAS1" s="842"/>
      <c r="KAT1" s="842"/>
      <c r="KAU1" s="842"/>
      <c r="KAV1" s="842"/>
      <c r="KAW1" s="842"/>
      <c r="KAX1" s="842"/>
      <c r="KAY1" s="842"/>
      <c r="KAZ1" s="842"/>
      <c r="KBA1" s="842"/>
      <c r="KBB1" s="842"/>
      <c r="KBC1" s="842"/>
      <c r="KBD1" s="842"/>
      <c r="KBE1" s="842"/>
      <c r="KBF1" s="842"/>
      <c r="KBG1" s="842"/>
      <c r="KBH1" s="842"/>
      <c r="KBI1" s="842"/>
      <c r="KBJ1" s="842"/>
      <c r="KBK1" s="842"/>
      <c r="KBL1" s="842"/>
      <c r="KBM1" s="842"/>
      <c r="KBN1" s="842"/>
      <c r="KBO1" s="842"/>
      <c r="KBP1" s="842"/>
      <c r="KBQ1" s="842"/>
      <c r="KBR1" s="842"/>
      <c r="KBS1" s="842"/>
      <c r="KBT1" s="842"/>
      <c r="KBU1" s="842"/>
      <c r="KBV1" s="842"/>
      <c r="KBW1" s="842"/>
      <c r="KBX1" s="842"/>
      <c r="KBY1" s="842"/>
      <c r="KBZ1" s="842"/>
      <c r="KCA1" s="842"/>
      <c r="KCB1" s="842"/>
      <c r="KCC1" s="842"/>
      <c r="KCD1" s="842"/>
      <c r="KCE1" s="842"/>
      <c r="KCF1" s="842"/>
      <c r="KCG1" s="842"/>
      <c r="KCH1" s="842"/>
      <c r="KCI1" s="842"/>
      <c r="KCJ1" s="842"/>
      <c r="KCK1" s="842"/>
      <c r="KCL1" s="842"/>
      <c r="KCM1" s="842"/>
      <c r="KCN1" s="842"/>
      <c r="KCO1" s="842"/>
      <c r="KCP1" s="842"/>
      <c r="KCQ1" s="842"/>
      <c r="KCR1" s="842"/>
      <c r="KCS1" s="842"/>
      <c r="KCT1" s="842"/>
      <c r="KCU1" s="842"/>
      <c r="KCV1" s="842"/>
      <c r="KCW1" s="842"/>
      <c r="KCX1" s="842"/>
      <c r="KCY1" s="842"/>
      <c r="KCZ1" s="842"/>
      <c r="KDA1" s="842"/>
      <c r="KDB1" s="842"/>
      <c r="KDC1" s="842"/>
      <c r="KDD1" s="842"/>
      <c r="KDE1" s="842"/>
      <c r="KDF1" s="842"/>
      <c r="KDG1" s="842"/>
      <c r="KDH1" s="842"/>
      <c r="KDI1" s="842"/>
      <c r="KDJ1" s="842"/>
      <c r="KDK1" s="842"/>
      <c r="KDL1" s="842"/>
      <c r="KDM1" s="842"/>
      <c r="KDN1" s="842"/>
      <c r="KDO1" s="842"/>
      <c r="KDP1" s="842"/>
      <c r="KDQ1" s="842"/>
      <c r="KDR1" s="842"/>
      <c r="KDS1" s="842"/>
      <c r="KDT1" s="842"/>
      <c r="KDU1" s="842"/>
      <c r="KDV1" s="842"/>
      <c r="KDW1" s="842"/>
      <c r="KDX1" s="842"/>
      <c r="KDY1" s="842"/>
      <c r="KDZ1" s="842"/>
      <c r="KEA1" s="842"/>
      <c r="KEB1" s="842"/>
      <c r="KEC1" s="842"/>
      <c r="KED1" s="842"/>
      <c r="KEE1" s="842"/>
      <c r="KEF1" s="842"/>
      <c r="KEG1" s="842"/>
      <c r="KEH1" s="842"/>
      <c r="KEI1" s="842"/>
      <c r="KEJ1" s="842"/>
      <c r="KEK1" s="842"/>
      <c r="KEL1" s="842"/>
      <c r="KEM1" s="842"/>
      <c r="KEN1" s="842"/>
      <c r="KEO1" s="842"/>
      <c r="KEP1" s="842"/>
      <c r="KEQ1" s="842"/>
      <c r="KER1" s="842"/>
      <c r="KES1" s="842"/>
      <c r="KET1" s="842"/>
      <c r="KEU1" s="842"/>
      <c r="KEV1" s="842"/>
      <c r="KEW1" s="842"/>
      <c r="KEX1" s="842"/>
      <c r="KEY1" s="842"/>
      <c r="KEZ1" s="842"/>
      <c r="KFA1" s="842"/>
      <c r="KFB1" s="842"/>
      <c r="KFC1" s="842"/>
      <c r="KFD1" s="842"/>
      <c r="KFE1" s="842"/>
      <c r="KFF1" s="842"/>
      <c r="KFG1" s="842"/>
      <c r="KFH1" s="842"/>
      <c r="KFI1" s="842"/>
      <c r="KFJ1" s="842"/>
      <c r="KFK1" s="842"/>
      <c r="KFL1" s="842"/>
      <c r="KFM1" s="842"/>
      <c r="KFN1" s="842"/>
      <c r="KFO1" s="842"/>
      <c r="KFP1" s="842"/>
      <c r="KFQ1" s="842"/>
      <c r="KFR1" s="842"/>
      <c r="KFS1" s="842"/>
      <c r="KFT1" s="842"/>
      <c r="KFU1" s="842"/>
      <c r="KFV1" s="842"/>
      <c r="KFW1" s="842"/>
      <c r="KFX1" s="842"/>
      <c r="KFY1" s="842"/>
      <c r="KFZ1" s="842"/>
      <c r="KGA1" s="842"/>
      <c r="KGB1" s="842"/>
      <c r="KGC1" s="842"/>
      <c r="KGD1" s="842"/>
      <c r="KGE1" s="842"/>
      <c r="KGF1" s="842"/>
      <c r="KGG1" s="842"/>
      <c r="KGH1" s="842"/>
      <c r="KGI1" s="842"/>
      <c r="KGJ1" s="842"/>
      <c r="KGK1" s="842"/>
      <c r="KGL1" s="842"/>
      <c r="KGM1" s="842"/>
      <c r="KGN1" s="842"/>
      <c r="KGO1" s="842"/>
      <c r="KGP1" s="842"/>
      <c r="KGQ1" s="842"/>
      <c r="KGR1" s="842"/>
      <c r="KGS1" s="842"/>
      <c r="KGT1" s="842"/>
      <c r="KGU1" s="842"/>
      <c r="KGV1" s="842"/>
      <c r="KGW1" s="842"/>
      <c r="KGX1" s="842"/>
      <c r="KGY1" s="842"/>
      <c r="KGZ1" s="842"/>
      <c r="KHA1" s="842"/>
      <c r="KHB1" s="842"/>
      <c r="KHC1" s="842"/>
      <c r="KHD1" s="842"/>
      <c r="KHE1" s="842"/>
      <c r="KHF1" s="842"/>
      <c r="KHG1" s="842"/>
      <c r="KHH1" s="842"/>
      <c r="KHI1" s="842"/>
      <c r="KHJ1" s="842"/>
      <c r="KHK1" s="842"/>
      <c r="KHL1" s="842"/>
      <c r="KHM1" s="842"/>
      <c r="KHN1" s="842"/>
      <c r="KHO1" s="842"/>
      <c r="KHP1" s="842"/>
      <c r="KHQ1" s="842"/>
      <c r="KHR1" s="842"/>
      <c r="KHS1" s="842"/>
      <c r="KHT1" s="842"/>
      <c r="KHU1" s="842"/>
      <c r="KHV1" s="842"/>
      <c r="KHW1" s="842"/>
      <c r="KHX1" s="842"/>
      <c r="KHY1" s="842"/>
      <c r="KHZ1" s="842"/>
      <c r="KIA1" s="842"/>
      <c r="KIB1" s="842"/>
      <c r="KIC1" s="842"/>
      <c r="KID1" s="842"/>
      <c r="KIE1" s="842"/>
      <c r="KIF1" s="842"/>
      <c r="KIG1" s="842"/>
      <c r="KIH1" s="842"/>
      <c r="KII1" s="842"/>
      <c r="KIJ1" s="842"/>
      <c r="KIK1" s="842"/>
      <c r="KIL1" s="842"/>
      <c r="KIM1" s="842"/>
      <c r="KIN1" s="842"/>
      <c r="KIO1" s="842"/>
      <c r="KIP1" s="842"/>
      <c r="KIQ1" s="842"/>
      <c r="KIR1" s="842"/>
      <c r="KIS1" s="842"/>
      <c r="KIT1" s="842"/>
      <c r="KIU1" s="842"/>
      <c r="KIV1" s="842"/>
      <c r="KIW1" s="842"/>
      <c r="KIX1" s="842"/>
      <c r="KIY1" s="842"/>
      <c r="KIZ1" s="842"/>
      <c r="KJA1" s="842"/>
      <c r="KJB1" s="842"/>
      <c r="KJC1" s="842"/>
      <c r="KJD1" s="842"/>
      <c r="KJE1" s="842"/>
      <c r="KJF1" s="842"/>
      <c r="KJG1" s="842"/>
      <c r="KJH1" s="842"/>
      <c r="KJI1" s="842"/>
      <c r="KJJ1" s="842"/>
      <c r="KJK1" s="842"/>
      <c r="KJL1" s="842"/>
      <c r="KJM1" s="842"/>
      <c r="KJN1" s="842"/>
      <c r="KJO1" s="842"/>
      <c r="KJP1" s="842"/>
      <c r="KJQ1" s="842"/>
      <c r="KJR1" s="842"/>
      <c r="KJS1" s="842"/>
      <c r="KJT1" s="842"/>
      <c r="KJU1" s="842"/>
      <c r="KJV1" s="842"/>
      <c r="KJW1" s="842"/>
      <c r="KJX1" s="842"/>
      <c r="KJY1" s="842"/>
      <c r="KJZ1" s="842"/>
      <c r="KKA1" s="842"/>
      <c r="KKB1" s="842"/>
      <c r="KKC1" s="842"/>
      <c r="KKD1" s="842"/>
      <c r="KKE1" s="842"/>
      <c r="KKF1" s="842"/>
      <c r="KKG1" s="842"/>
      <c r="KKH1" s="842"/>
      <c r="KKI1" s="842"/>
      <c r="KKJ1" s="842"/>
      <c r="KKK1" s="842"/>
      <c r="KKL1" s="842"/>
      <c r="KKM1" s="842"/>
      <c r="KKN1" s="842"/>
      <c r="KKO1" s="842"/>
      <c r="KKP1" s="842"/>
      <c r="KKQ1" s="842"/>
      <c r="KKR1" s="842"/>
      <c r="KKS1" s="842"/>
      <c r="KKT1" s="842"/>
      <c r="KKU1" s="842"/>
      <c r="KKV1" s="842"/>
      <c r="KKW1" s="842"/>
      <c r="KKX1" s="842"/>
      <c r="KKY1" s="842"/>
      <c r="KKZ1" s="842"/>
      <c r="KLA1" s="842"/>
      <c r="KLB1" s="842"/>
      <c r="KLC1" s="842"/>
      <c r="KLD1" s="842"/>
      <c r="KLE1" s="842"/>
      <c r="KLF1" s="842"/>
      <c r="KLG1" s="842"/>
      <c r="KLH1" s="842"/>
      <c r="KLI1" s="842"/>
      <c r="KLJ1" s="842"/>
      <c r="KLK1" s="842"/>
      <c r="KLL1" s="842"/>
      <c r="KLM1" s="842"/>
      <c r="KLN1" s="842"/>
      <c r="KLO1" s="842"/>
      <c r="KLP1" s="842"/>
      <c r="KLQ1" s="842"/>
      <c r="KLR1" s="842"/>
      <c r="KLS1" s="842"/>
      <c r="KLT1" s="842"/>
      <c r="KLU1" s="842"/>
      <c r="KLV1" s="842"/>
      <c r="KLW1" s="842"/>
      <c r="KLX1" s="842"/>
      <c r="KLY1" s="842"/>
      <c r="KLZ1" s="842"/>
      <c r="KMA1" s="842"/>
      <c r="KMB1" s="842"/>
      <c r="KMC1" s="842"/>
      <c r="KMD1" s="842"/>
      <c r="KME1" s="842"/>
      <c r="KMF1" s="842"/>
      <c r="KMG1" s="842"/>
      <c r="KMH1" s="842"/>
      <c r="KMI1" s="842"/>
      <c r="KMJ1" s="842"/>
      <c r="KMK1" s="842"/>
      <c r="KML1" s="842"/>
      <c r="KMM1" s="842"/>
      <c r="KMN1" s="842"/>
      <c r="KMO1" s="842"/>
      <c r="KMP1" s="842"/>
      <c r="KMQ1" s="842"/>
      <c r="KMR1" s="842"/>
      <c r="KMS1" s="842"/>
      <c r="KMT1" s="842"/>
      <c r="KMU1" s="842"/>
      <c r="KMV1" s="842"/>
      <c r="KMW1" s="842"/>
      <c r="KMX1" s="842"/>
      <c r="KMY1" s="842"/>
      <c r="KMZ1" s="842"/>
      <c r="KNA1" s="842"/>
      <c r="KNB1" s="842"/>
      <c r="KNC1" s="842"/>
      <c r="KND1" s="842"/>
      <c r="KNE1" s="842"/>
      <c r="KNF1" s="842"/>
      <c r="KNG1" s="842"/>
      <c r="KNH1" s="842"/>
      <c r="KNI1" s="842"/>
      <c r="KNJ1" s="842"/>
      <c r="KNK1" s="842"/>
      <c r="KNL1" s="842"/>
      <c r="KNM1" s="842"/>
      <c r="KNN1" s="842"/>
      <c r="KNO1" s="842"/>
      <c r="KNP1" s="842"/>
      <c r="KNQ1" s="842"/>
      <c r="KNR1" s="842"/>
      <c r="KNS1" s="842"/>
      <c r="KNT1" s="842"/>
      <c r="KNU1" s="842"/>
      <c r="KNV1" s="842"/>
      <c r="KNW1" s="842"/>
      <c r="KNX1" s="842"/>
      <c r="KNY1" s="842"/>
      <c r="KNZ1" s="842"/>
      <c r="KOA1" s="842"/>
      <c r="KOB1" s="842"/>
      <c r="KOC1" s="842"/>
      <c r="KOD1" s="842"/>
      <c r="KOE1" s="842"/>
      <c r="KOF1" s="842"/>
      <c r="KOG1" s="842"/>
      <c r="KOH1" s="842"/>
      <c r="KOI1" s="842"/>
      <c r="KOJ1" s="842"/>
      <c r="KOK1" s="842"/>
      <c r="KOL1" s="842"/>
      <c r="KOM1" s="842"/>
      <c r="KON1" s="842"/>
      <c r="KOO1" s="842"/>
      <c r="KOP1" s="842"/>
      <c r="KOQ1" s="842"/>
      <c r="KOR1" s="842"/>
      <c r="KOS1" s="842"/>
      <c r="KOT1" s="842"/>
      <c r="KOU1" s="842"/>
      <c r="KOV1" s="842"/>
      <c r="KOW1" s="842"/>
      <c r="KOX1" s="842"/>
      <c r="KOY1" s="842"/>
      <c r="KOZ1" s="842"/>
      <c r="KPA1" s="842"/>
      <c r="KPB1" s="842"/>
      <c r="KPC1" s="842"/>
      <c r="KPD1" s="842"/>
      <c r="KPE1" s="842"/>
      <c r="KPF1" s="842"/>
      <c r="KPG1" s="842"/>
      <c r="KPH1" s="842"/>
      <c r="KPI1" s="842"/>
      <c r="KPJ1" s="842"/>
      <c r="KPK1" s="842"/>
      <c r="KPL1" s="842"/>
      <c r="KPM1" s="842"/>
      <c r="KPN1" s="842"/>
      <c r="KPO1" s="842"/>
      <c r="KPP1" s="842"/>
      <c r="KPQ1" s="842"/>
      <c r="KPR1" s="842"/>
      <c r="KPS1" s="842"/>
      <c r="KPT1" s="842"/>
      <c r="KPU1" s="842"/>
      <c r="KPV1" s="842"/>
      <c r="KPW1" s="842"/>
      <c r="KPX1" s="842"/>
      <c r="KPY1" s="842"/>
      <c r="KPZ1" s="842"/>
      <c r="KQA1" s="842"/>
      <c r="KQB1" s="842"/>
      <c r="KQC1" s="842"/>
      <c r="KQD1" s="842"/>
      <c r="KQE1" s="842"/>
      <c r="KQF1" s="842"/>
      <c r="KQG1" s="842"/>
      <c r="KQH1" s="842"/>
      <c r="KQI1" s="842"/>
      <c r="KQJ1" s="842"/>
      <c r="KQK1" s="842"/>
      <c r="KQL1" s="842"/>
      <c r="KQM1" s="842"/>
      <c r="KQN1" s="842"/>
      <c r="KQO1" s="842"/>
      <c r="KQP1" s="842"/>
      <c r="KQQ1" s="842"/>
      <c r="KQR1" s="842"/>
      <c r="KQS1" s="842"/>
      <c r="KQT1" s="842"/>
      <c r="KQU1" s="842"/>
      <c r="KQV1" s="842"/>
      <c r="KQW1" s="842"/>
      <c r="KQX1" s="842"/>
      <c r="KQY1" s="842"/>
      <c r="KQZ1" s="842"/>
      <c r="KRA1" s="842"/>
      <c r="KRB1" s="842"/>
      <c r="KRC1" s="842"/>
      <c r="KRD1" s="842"/>
      <c r="KRE1" s="842"/>
      <c r="KRF1" s="842"/>
      <c r="KRG1" s="842"/>
      <c r="KRH1" s="842"/>
      <c r="KRI1" s="842"/>
      <c r="KRJ1" s="842"/>
      <c r="KRK1" s="842"/>
      <c r="KRL1" s="842"/>
      <c r="KRM1" s="842"/>
      <c r="KRN1" s="842"/>
      <c r="KRO1" s="842"/>
      <c r="KRP1" s="842"/>
      <c r="KRQ1" s="842"/>
      <c r="KRR1" s="842"/>
      <c r="KRS1" s="842"/>
      <c r="KRT1" s="842"/>
      <c r="KRU1" s="842"/>
      <c r="KRV1" s="842"/>
      <c r="KRW1" s="842"/>
      <c r="KRX1" s="842"/>
      <c r="KRY1" s="842"/>
      <c r="KRZ1" s="842"/>
      <c r="KSA1" s="842"/>
      <c r="KSB1" s="842"/>
      <c r="KSC1" s="842"/>
      <c r="KSD1" s="842"/>
      <c r="KSE1" s="842"/>
      <c r="KSF1" s="842"/>
      <c r="KSG1" s="842"/>
      <c r="KSH1" s="842"/>
      <c r="KSI1" s="842"/>
      <c r="KSJ1" s="842"/>
      <c r="KSK1" s="842"/>
      <c r="KSL1" s="842"/>
      <c r="KSM1" s="842"/>
      <c r="KSN1" s="842"/>
      <c r="KSO1" s="842"/>
      <c r="KSP1" s="842"/>
      <c r="KSQ1" s="842"/>
      <c r="KSR1" s="842"/>
      <c r="KSS1" s="842"/>
      <c r="KST1" s="842"/>
      <c r="KSU1" s="842"/>
      <c r="KSV1" s="842"/>
      <c r="KSW1" s="842"/>
      <c r="KSX1" s="842"/>
      <c r="KSY1" s="842"/>
      <c r="KSZ1" s="842"/>
      <c r="KTA1" s="842"/>
      <c r="KTB1" s="842"/>
      <c r="KTC1" s="842"/>
      <c r="KTD1" s="842"/>
      <c r="KTE1" s="842"/>
      <c r="KTF1" s="842"/>
      <c r="KTG1" s="842"/>
      <c r="KTH1" s="842"/>
      <c r="KTI1" s="842"/>
      <c r="KTJ1" s="842"/>
      <c r="KTK1" s="842"/>
      <c r="KTL1" s="842"/>
      <c r="KTM1" s="842"/>
      <c r="KTN1" s="842"/>
      <c r="KTO1" s="842"/>
      <c r="KTP1" s="842"/>
      <c r="KTQ1" s="842"/>
      <c r="KTR1" s="842"/>
      <c r="KTS1" s="842"/>
      <c r="KTT1" s="842"/>
      <c r="KTU1" s="842"/>
      <c r="KTV1" s="842"/>
      <c r="KTW1" s="842"/>
      <c r="KTX1" s="842"/>
      <c r="KTY1" s="842"/>
      <c r="KTZ1" s="842"/>
      <c r="KUA1" s="842"/>
      <c r="KUB1" s="842"/>
      <c r="KUC1" s="842"/>
      <c r="KUD1" s="842"/>
      <c r="KUE1" s="842"/>
      <c r="KUF1" s="842"/>
      <c r="KUG1" s="842"/>
      <c r="KUH1" s="842"/>
      <c r="KUI1" s="842"/>
      <c r="KUJ1" s="842"/>
      <c r="KUK1" s="842"/>
      <c r="KUL1" s="842"/>
      <c r="KUM1" s="842"/>
      <c r="KUN1" s="842"/>
      <c r="KUO1" s="842"/>
      <c r="KUP1" s="842"/>
      <c r="KUQ1" s="842"/>
      <c r="KUR1" s="842"/>
      <c r="KUS1" s="842"/>
      <c r="KUT1" s="842"/>
      <c r="KUU1" s="842"/>
      <c r="KUV1" s="842"/>
      <c r="KUW1" s="842"/>
      <c r="KUX1" s="842"/>
      <c r="KUY1" s="842"/>
      <c r="KUZ1" s="842"/>
      <c r="KVA1" s="842"/>
      <c r="KVB1" s="842"/>
      <c r="KVC1" s="842"/>
      <c r="KVD1" s="842"/>
      <c r="KVE1" s="842"/>
      <c r="KVF1" s="842"/>
      <c r="KVG1" s="842"/>
      <c r="KVH1" s="842"/>
      <c r="KVI1" s="842"/>
      <c r="KVJ1" s="842"/>
      <c r="KVK1" s="842"/>
      <c r="KVL1" s="842"/>
      <c r="KVM1" s="842"/>
      <c r="KVN1" s="842"/>
      <c r="KVO1" s="842"/>
      <c r="KVP1" s="842"/>
      <c r="KVQ1" s="842"/>
      <c r="KVR1" s="842"/>
      <c r="KVS1" s="842"/>
      <c r="KVT1" s="842"/>
      <c r="KVU1" s="842"/>
      <c r="KVV1" s="842"/>
      <c r="KVW1" s="842"/>
      <c r="KVX1" s="842"/>
      <c r="KVY1" s="842"/>
      <c r="KVZ1" s="842"/>
      <c r="KWA1" s="842"/>
      <c r="KWB1" s="842"/>
      <c r="KWC1" s="842"/>
      <c r="KWD1" s="842"/>
      <c r="KWE1" s="842"/>
      <c r="KWF1" s="842"/>
      <c r="KWG1" s="842"/>
      <c r="KWH1" s="842"/>
      <c r="KWI1" s="842"/>
      <c r="KWJ1" s="842"/>
      <c r="KWK1" s="842"/>
      <c r="KWL1" s="842"/>
      <c r="KWM1" s="842"/>
      <c r="KWN1" s="842"/>
      <c r="KWO1" s="842"/>
      <c r="KWP1" s="842"/>
      <c r="KWQ1" s="842"/>
      <c r="KWR1" s="842"/>
      <c r="KWS1" s="842"/>
      <c r="KWT1" s="842"/>
      <c r="KWU1" s="842"/>
      <c r="KWV1" s="842"/>
      <c r="KWW1" s="842"/>
      <c r="KWX1" s="842"/>
      <c r="KWY1" s="842"/>
      <c r="KWZ1" s="842"/>
      <c r="KXA1" s="842"/>
      <c r="KXB1" s="842"/>
      <c r="KXC1" s="842"/>
      <c r="KXD1" s="842"/>
      <c r="KXE1" s="842"/>
      <c r="KXF1" s="842"/>
      <c r="KXG1" s="842"/>
      <c r="KXH1" s="842"/>
      <c r="KXI1" s="842"/>
      <c r="KXJ1" s="842"/>
      <c r="KXK1" s="842"/>
      <c r="KXL1" s="842"/>
      <c r="KXM1" s="842"/>
      <c r="KXN1" s="842"/>
      <c r="KXO1" s="842"/>
      <c r="KXP1" s="842"/>
      <c r="KXQ1" s="842"/>
      <c r="KXR1" s="842"/>
      <c r="KXS1" s="842"/>
      <c r="KXT1" s="842"/>
      <c r="KXU1" s="842"/>
      <c r="KXV1" s="842"/>
      <c r="KXW1" s="842"/>
      <c r="KXX1" s="842"/>
      <c r="KXY1" s="842"/>
      <c r="KXZ1" s="842"/>
      <c r="KYA1" s="842"/>
      <c r="KYB1" s="842"/>
      <c r="KYC1" s="842"/>
      <c r="KYD1" s="842"/>
      <c r="KYE1" s="842"/>
      <c r="KYF1" s="842"/>
      <c r="KYG1" s="842"/>
      <c r="KYH1" s="842"/>
      <c r="KYI1" s="842"/>
      <c r="KYJ1" s="842"/>
      <c r="KYK1" s="842"/>
      <c r="KYL1" s="842"/>
      <c r="KYM1" s="842"/>
      <c r="KYN1" s="842"/>
      <c r="KYO1" s="842"/>
      <c r="KYP1" s="842"/>
      <c r="KYQ1" s="842"/>
      <c r="KYR1" s="842"/>
      <c r="KYS1" s="842"/>
      <c r="KYT1" s="842"/>
      <c r="KYU1" s="842"/>
      <c r="KYV1" s="842"/>
      <c r="KYW1" s="842"/>
      <c r="KYX1" s="842"/>
      <c r="KYY1" s="842"/>
      <c r="KYZ1" s="842"/>
      <c r="KZA1" s="842"/>
      <c r="KZB1" s="842"/>
      <c r="KZC1" s="842"/>
      <c r="KZD1" s="842"/>
      <c r="KZE1" s="842"/>
      <c r="KZF1" s="842"/>
      <c r="KZG1" s="842"/>
      <c r="KZH1" s="842"/>
      <c r="KZI1" s="842"/>
      <c r="KZJ1" s="842"/>
      <c r="KZK1" s="842"/>
      <c r="KZL1" s="842"/>
      <c r="KZM1" s="842"/>
      <c r="KZN1" s="842"/>
      <c r="KZO1" s="842"/>
      <c r="KZP1" s="842"/>
      <c r="KZQ1" s="842"/>
      <c r="KZR1" s="842"/>
      <c r="KZS1" s="842"/>
      <c r="KZT1" s="842"/>
      <c r="KZU1" s="842"/>
      <c r="KZV1" s="842"/>
      <c r="KZW1" s="842"/>
      <c r="KZX1" s="842"/>
      <c r="KZY1" s="842"/>
      <c r="KZZ1" s="842"/>
      <c r="LAA1" s="842"/>
      <c r="LAB1" s="842"/>
      <c r="LAC1" s="842"/>
      <c r="LAD1" s="842"/>
      <c r="LAE1" s="842"/>
      <c r="LAF1" s="842"/>
      <c r="LAG1" s="842"/>
      <c r="LAH1" s="842"/>
      <c r="LAI1" s="842"/>
      <c r="LAJ1" s="842"/>
      <c r="LAK1" s="842"/>
      <c r="LAL1" s="842"/>
      <c r="LAM1" s="842"/>
      <c r="LAN1" s="842"/>
      <c r="LAO1" s="842"/>
      <c r="LAP1" s="842"/>
      <c r="LAQ1" s="842"/>
      <c r="LAR1" s="842"/>
      <c r="LAS1" s="842"/>
      <c r="LAT1" s="842"/>
      <c r="LAU1" s="842"/>
      <c r="LAV1" s="842"/>
      <c r="LAW1" s="842"/>
      <c r="LAX1" s="842"/>
      <c r="LAY1" s="842"/>
      <c r="LAZ1" s="842"/>
      <c r="LBA1" s="842"/>
      <c r="LBB1" s="842"/>
      <c r="LBC1" s="842"/>
      <c r="LBD1" s="842"/>
      <c r="LBE1" s="842"/>
      <c r="LBF1" s="842"/>
      <c r="LBG1" s="842"/>
      <c r="LBH1" s="842"/>
      <c r="LBI1" s="842"/>
      <c r="LBJ1" s="842"/>
      <c r="LBK1" s="842"/>
      <c r="LBL1" s="842"/>
      <c r="LBM1" s="842"/>
      <c r="LBN1" s="842"/>
      <c r="LBO1" s="842"/>
      <c r="LBP1" s="842"/>
      <c r="LBQ1" s="842"/>
      <c r="LBR1" s="842"/>
      <c r="LBS1" s="842"/>
      <c r="LBT1" s="842"/>
      <c r="LBU1" s="842"/>
      <c r="LBV1" s="842"/>
      <c r="LBW1" s="842"/>
      <c r="LBX1" s="842"/>
      <c r="LBY1" s="842"/>
      <c r="LBZ1" s="842"/>
      <c r="LCA1" s="842"/>
      <c r="LCB1" s="842"/>
      <c r="LCC1" s="842"/>
      <c r="LCD1" s="842"/>
      <c r="LCE1" s="842"/>
      <c r="LCF1" s="842"/>
      <c r="LCG1" s="842"/>
      <c r="LCH1" s="842"/>
      <c r="LCI1" s="842"/>
      <c r="LCJ1" s="842"/>
      <c r="LCK1" s="842"/>
      <c r="LCL1" s="842"/>
      <c r="LCM1" s="842"/>
      <c r="LCN1" s="842"/>
      <c r="LCO1" s="842"/>
      <c r="LCP1" s="842"/>
      <c r="LCQ1" s="842"/>
      <c r="LCR1" s="842"/>
      <c r="LCS1" s="842"/>
      <c r="LCT1" s="842"/>
      <c r="LCU1" s="842"/>
      <c r="LCV1" s="842"/>
      <c r="LCW1" s="842"/>
      <c r="LCX1" s="842"/>
      <c r="LCY1" s="842"/>
      <c r="LCZ1" s="842"/>
      <c r="LDA1" s="842"/>
      <c r="LDB1" s="842"/>
      <c r="LDC1" s="842"/>
      <c r="LDD1" s="842"/>
      <c r="LDE1" s="842"/>
      <c r="LDF1" s="842"/>
      <c r="LDG1" s="842"/>
      <c r="LDH1" s="842"/>
      <c r="LDI1" s="842"/>
      <c r="LDJ1" s="842"/>
      <c r="LDK1" s="842"/>
      <c r="LDL1" s="842"/>
      <c r="LDM1" s="842"/>
      <c r="LDN1" s="842"/>
      <c r="LDO1" s="842"/>
      <c r="LDP1" s="842"/>
      <c r="LDQ1" s="842"/>
      <c r="LDR1" s="842"/>
      <c r="LDS1" s="842"/>
      <c r="LDT1" s="842"/>
      <c r="LDU1" s="842"/>
      <c r="LDV1" s="842"/>
      <c r="LDW1" s="842"/>
      <c r="LDX1" s="842"/>
      <c r="LDY1" s="842"/>
      <c r="LDZ1" s="842"/>
      <c r="LEA1" s="842"/>
      <c r="LEB1" s="842"/>
      <c r="LEC1" s="842"/>
      <c r="LED1" s="842"/>
      <c r="LEE1" s="842"/>
      <c r="LEF1" s="842"/>
      <c r="LEG1" s="842"/>
      <c r="LEH1" s="842"/>
      <c r="LEI1" s="842"/>
      <c r="LEJ1" s="842"/>
      <c r="LEK1" s="842"/>
      <c r="LEL1" s="842"/>
      <c r="LEM1" s="842"/>
      <c r="LEN1" s="842"/>
      <c r="LEO1" s="842"/>
      <c r="LEP1" s="842"/>
      <c r="LEQ1" s="842"/>
      <c r="LER1" s="842"/>
      <c r="LES1" s="842"/>
      <c r="LET1" s="842"/>
      <c r="LEU1" s="842"/>
      <c r="LEV1" s="842"/>
      <c r="LEW1" s="842"/>
      <c r="LEX1" s="842"/>
      <c r="LEY1" s="842"/>
      <c r="LEZ1" s="842"/>
      <c r="LFA1" s="842"/>
      <c r="LFB1" s="842"/>
      <c r="LFC1" s="842"/>
      <c r="LFD1" s="842"/>
      <c r="LFE1" s="842"/>
      <c r="LFF1" s="842"/>
      <c r="LFG1" s="842"/>
      <c r="LFH1" s="842"/>
      <c r="LFI1" s="842"/>
      <c r="LFJ1" s="842"/>
      <c r="LFK1" s="842"/>
      <c r="LFL1" s="842"/>
      <c r="LFM1" s="842"/>
      <c r="LFN1" s="842"/>
      <c r="LFO1" s="842"/>
      <c r="LFP1" s="842"/>
      <c r="LFQ1" s="842"/>
      <c r="LFR1" s="842"/>
      <c r="LFS1" s="842"/>
      <c r="LFT1" s="842"/>
      <c r="LFU1" s="842"/>
      <c r="LFV1" s="842"/>
      <c r="LFW1" s="842"/>
      <c r="LFX1" s="842"/>
      <c r="LFY1" s="842"/>
      <c r="LFZ1" s="842"/>
      <c r="LGA1" s="842"/>
      <c r="LGB1" s="842"/>
      <c r="LGC1" s="842"/>
      <c r="LGD1" s="842"/>
      <c r="LGE1" s="842"/>
      <c r="LGF1" s="842"/>
      <c r="LGG1" s="842"/>
      <c r="LGH1" s="842"/>
      <c r="LGI1" s="842"/>
      <c r="LGJ1" s="842"/>
      <c r="LGK1" s="842"/>
      <c r="LGL1" s="842"/>
      <c r="LGM1" s="842"/>
      <c r="LGN1" s="842"/>
      <c r="LGO1" s="842"/>
      <c r="LGP1" s="842"/>
      <c r="LGQ1" s="842"/>
      <c r="LGR1" s="842"/>
      <c r="LGS1" s="842"/>
      <c r="LGT1" s="842"/>
      <c r="LGU1" s="842"/>
      <c r="LGV1" s="842"/>
      <c r="LGW1" s="842"/>
      <c r="LGX1" s="842"/>
      <c r="LGY1" s="842"/>
      <c r="LGZ1" s="842"/>
      <c r="LHA1" s="842"/>
      <c r="LHB1" s="842"/>
      <c r="LHC1" s="842"/>
      <c r="LHD1" s="842"/>
      <c r="LHE1" s="842"/>
      <c r="LHF1" s="842"/>
      <c r="LHG1" s="842"/>
      <c r="LHH1" s="842"/>
      <c r="LHI1" s="842"/>
      <c r="LHJ1" s="842"/>
      <c r="LHK1" s="842"/>
      <c r="LHL1" s="842"/>
      <c r="LHM1" s="842"/>
      <c r="LHN1" s="842"/>
      <c r="LHO1" s="842"/>
      <c r="LHP1" s="842"/>
      <c r="LHQ1" s="842"/>
      <c r="LHR1" s="842"/>
      <c r="LHS1" s="842"/>
      <c r="LHT1" s="842"/>
      <c r="LHU1" s="842"/>
      <c r="LHV1" s="842"/>
      <c r="LHW1" s="842"/>
      <c r="LHX1" s="842"/>
      <c r="LHY1" s="842"/>
      <c r="LHZ1" s="842"/>
      <c r="LIA1" s="842"/>
      <c r="LIB1" s="842"/>
      <c r="LIC1" s="842"/>
      <c r="LID1" s="842"/>
      <c r="LIE1" s="842"/>
      <c r="LIF1" s="842"/>
      <c r="LIG1" s="842"/>
      <c r="LIH1" s="842"/>
      <c r="LII1" s="842"/>
      <c r="LIJ1" s="842"/>
      <c r="LIK1" s="842"/>
      <c r="LIL1" s="842"/>
      <c r="LIM1" s="842"/>
      <c r="LIN1" s="842"/>
      <c r="LIO1" s="842"/>
      <c r="LIP1" s="842"/>
      <c r="LIQ1" s="842"/>
      <c r="LIR1" s="842"/>
      <c r="LIS1" s="842"/>
      <c r="LIT1" s="842"/>
      <c r="LIU1" s="842"/>
      <c r="LIV1" s="842"/>
      <c r="LIW1" s="842"/>
      <c r="LIX1" s="842"/>
      <c r="LIY1" s="842"/>
      <c r="LIZ1" s="842"/>
      <c r="LJA1" s="842"/>
      <c r="LJB1" s="842"/>
      <c r="LJC1" s="842"/>
      <c r="LJD1" s="842"/>
      <c r="LJE1" s="842"/>
      <c r="LJF1" s="842"/>
      <c r="LJG1" s="842"/>
      <c r="LJH1" s="842"/>
      <c r="LJI1" s="842"/>
      <c r="LJJ1" s="842"/>
      <c r="LJK1" s="842"/>
      <c r="LJL1" s="842"/>
      <c r="LJM1" s="842"/>
      <c r="LJN1" s="842"/>
      <c r="LJO1" s="842"/>
      <c r="LJP1" s="842"/>
      <c r="LJQ1" s="842"/>
      <c r="LJR1" s="842"/>
      <c r="LJS1" s="842"/>
      <c r="LJT1" s="842"/>
      <c r="LJU1" s="842"/>
      <c r="LJV1" s="842"/>
      <c r="LJW1" s="842"/>
      <c r="LJX1" s="842"/>
      <c r="LJY1" s="842"/>
      <c r="LJZ1" s="842"/>
      <c r="LKA1" s="842"/>
      <c r="LKB1" s="842"/>
      <c r="LKC1" s="842"/>
      <c r="LKD1" s="842"/>
      <c r="LKE1" s="842"/>
      <c r="LKF1" s="842"/>
      <c r="LKG1" s="842"/>
      <c r="LKH1" s="842"/>
      <c r="LKI1" s="842"/>
      <c r="LKJ1" s="842"/>
      <c r="LKK1" s="842"/>
      <c r="LKL1" s="842"/>
      <c r="LKM1" s="842"/>
      <c r="LKN1" s="842"/>
      <c r="LKO1" s="842"/>
      <c r="LKP1" s="842"/>
      <c r="LKQ1" s="842"/>
      <c r="LKR1" s="842"/>
      <c r="LKS1" s="842"/>
      <c r="LKT1" s="842"/>
      <c r="LKU1" s="842"/>
      <c r="LKV1" s="842"/>
      <c r="LKW1" s="842"/>
      <c r="LKX1" s="842"/>
      <c r="LKY1" s="842"/>
      <c r="LKZ1" s="842"/>
      <c r="LLA1" s="842"/>
      <c r="LLB1" s="842"/>
      <c r="LLC1" s="842"/>
      <c r="LLD1" s="842"/>
      <c r="LLE1" s="842"/>
      <c r="LLF1" s="842"/>
      <c r="LLG1" s="842"/>
      <c r="LLH1" s="842"/>
      <c r="LLI1" s="842"/>
      <c r="LLJ1" s="842"/>
      <c r="LLK1" s="842"/>
      <c r="LLL1" s="842"/>
      <c r="LLM1" s="842"/>
      <c r="LLN1" s="842"/>
      <c r="LLO1" s="842"/>
      <c r="LLP1" s="842"/>
      <c r="LLQ1" s="842"/>
      <c r="LLR1" s="842"/>
      <c r="LLS1" s="842"/>
      <c r="LLT1" s="842"/>
      <c r="LLU1" s="842"/>
      <c r="LLV1" s="842"/>
      <c r="LLW1" s="842"/>
      <c r="LLX1" s="842"/>
      <c r="LLY1" s="842"/>
      <c r="LLZ1" s="842"/>
      <c r="LMA1" s="842"/>
      <c r="LMB1" s="842"/>
      <c r="LMC1" s="842"/>
      <c r="LMD1" s="842"/>
      <c r="LME1" s="842"/>
      <c r="LMF1" s="842"/>
      <c r="LMG1" s="842"/>
      <c r="LMH1" s="842"/>
      <c r="LMI1" s="842"/>
      <c r="LMJ1" s="842"/>
      <c r="LMK1" s="842"/>
      <c r="LML1" s="842"/>
      <c r="LMM1" s="842"/>
      <c r="LMN1" s="842"/>
      <c r="LMO1" s="842"/>
      <c r="LMP1" s="842"/>
      <c r="LMQ1" s="842"/>
      <c r="LMR1" s="842"/>
      <c r="LMS1" s="842"/>
      <c r="LMT1" s="842"/>
      <c r="LMU1" s="842"/>
      <c r="LMV1" s="842"/>
      <c r="LMW1" s="842"/>
      <c r="LMX1" s="842"/>
      <c r="LMY1" s="842"/>
      <c r="LMZ1" s="842"/>
      <c r="LNA1" s="842"/>
      <c r="LNB1" s="842"/>
      <c r="LNC1" s="842"/>
      <c r="LND1" s="842"/>
      <c r="LNE1" s="842"/>
      <c r="LNF1" s="842"/>
      <c r="LNG1" s="842"/>
      <c r="LNH1" s="842"/>
      <c r="LNI1" s="842"/>
      <c r="LNJ1" s="842"/>
      <c r="LNK1" s="842"/>
      <c r="LNL1" s="842"/>
      <c r="LNM1" s="842"/>
      <c r="LNN1" s="842"/>
      <c r="LNO1" s="842"/>
      <c r="LNP1" s="842"/>
      <c r="LNQ1" s="842"/>
      <c r="LNR1" s="842"/>
      <c r="LNS1" s="842"/>
      <c r="LNT1" s="842"/>
      <c r="LNU1" s="842"/>
      <c r="LNV1" s="842"/>
      <c r="LNW1" s="842"/>
      <c r="LNX1" s="842"/>
      <c r="LNY1" s="842"/>
      <c r="LNZ1" s="842"/>
      <c r="LOA1" s="842"/>
      <c r="LOB1" s="842"/>
      <c r="LOC1" s="842"/>
      <c r="LOD1" s="842"/>
      <c r="LOE1" s="842"/>
      <c r="LOF1" s="842"/>
      <c r="LOG1" s="842"/>
      <c r="LOH1" s="842"/>
      <c r="LOI1" s="842"/>
      <c r="LOJ1" s="842"/>
      <c r="LOK1" s="842"/>
      <c r="LOL1" s="842"/>
      <c r="LOM1" s="842"/>
      <c r="LON1" s="842"/>
      <c r="LOO1" s="842"/>
      <c r="LOP1" s="842"/>
      <c r="LOQ1" s="842"/>
      <c r="LOR1" s="842"/>
      <c r="LOS1" s="842"/>
      <c r="LOT1" s="842"/>
      <c r="LOU1" s="842"/>
      <c r="LOV1" s="842"/>
      <c r="LOW1" s="842"/>
      <c r="LOX1" s="842"/>
      <c r="LOY1" s="842"/>
      <c r="LOZ1" s="842"/>
      <c r="LPA1" s="842"/>
      <c r="LPB1" s="842"/>
      <c r="LPC1" s="842"/>
      <c r="LPD1" s="842"/>
      <c r="LPE1" s="842"/>
      <c r="LPF1" s="842"/>
      <c r="LPG1" s="842"/>
      <c r="LPH1" s="842"/>
      <c r="LPI1" s="842"/>
      <c r="LPJ1" s="842"/>
      <c r="LPK1" s="842"/>
      <c r="LPL1" s="842"/>
      <c r="LPM1" s="842"/>
      <c r="LPN1" s="842"/>
      <c r="LPO1" s="842"/>
      <c r="LPP1" s="842"/>
      <c r="LPQ1" s="842"/>
      <c r="LPR1" s="842"/>
      <c r="LPS1" s="842"/>
      <c r="LPT1" s="842"/>
      <c r="LPU1" s="842"/>
      <c r="LPV1" s="842"/>
      <c r="LPW1" s="842"/>
      <c r="LPX1" s="842"/>
      <c r="LPY1" s="842"/>
      <c r="LPZ1" s="842"/>
      <c r="LQA1" s="842"/>
      <c r="LQB1" s="842"/>
      <c r="LQC1" s="842"/>
      <c r="LQD1" s="842"/>
      <c r="LQE1" s="842"/>
      <c r="LQF1" s="842"/>
      <c r="LQG1" s="842"/>
      <c r="LQH1" s="842"/>
      <c r="LQI1" s="842"/>
      <c r="LQJ1" s="842"/>
      <c r="LQK1" s="842"/>
      <c r="LQL1" s="842"/>
      <c r="LQM1" s="842"/>
      <c r="LQN1" s="842"/>
      <c r="LQO1" s="842"/>
      <c r="LQP1" s="842"/>
      <c r="LQQ1" s="842"/>
      <c r="LQR1" s="842"/>
      <c r="LQS1" s="842"/>
      <c r="LQT1" s="842"/>
      <c r="LQU1" s="842"/>
      <c r="LQV1" s="842"/>
      <c r="LQW1" s="842"/>
      <c r="LQX1" s="842"/>
      <c r="LQY1" s="842"/>
      <c r="LQZ1" s="842"/>
      <c r="LRA1" s="842"/>
      <c r="LRB1" s="842"/>
      <c r="LRC1" s="842"/>
      <c r="LRD1" s="842"/>
      <c r="LRE1" s="842"/>
      <c r="LRF1" s="842"/>
      <c r="LRG1" s="842"/>
      <c r="LRH1" s="842"/>
      <c r="LRI1" s="842"/>
      <c r="LRJ1" s="842"/>
      <c r="LRK1" s="842"/>
      <c r="LRL1" s="842"/>
      <c r="LRM1" s="842"/>
      <c r="LRN1" s="842"/>
      <c r="LRO1" s="842"/>
      <c r="LRP1" s="842"/>
      <c r="LRQ1" s="842"/>
      <c r="LRR1" s="842"/>
      <c r="LRS1" s="842"/>
      <c r="LRT1" s="842"/>
      <c r="LRU1" s="842"/>
      <c r="LRV1" s="842"/>
      <c r="LRW1" s="842"/>
      <c r="LRX1" s="842"/>
      <c r="LRY1" s="842"/>
      <c r="LRZ1" s="842"/>
      <c r="LSA1" s="842"/>
      <c r="LSB1" s="842"/>
      <c r="LSC1" s="842"/>
      <c r="LSD1" s="842"/>
      <c r="LSE1" s="842"/>
      <c r="LSF1" s="842"/>
      <c r="LSG1" s="842"/>
      <c r="LSH1" s="842"/>
      <c r="LSI1" s="842"/>
      <c r="LSJ1" s="842"/>
      <c r="LSK1" s="842"/>
      <c r="LSL1" s="842"/>
      <c r="LSM1" s="842"/>
      <c r="LSN1" s="842"/>
      <c r="LSO1" s="842"/>
      <c r="LSP1" s="842"/>
      <c r="LSQ1" s="842"/>
      <c r="LSR1" s="842"/>
      <c r="LSS1" s="842"/>
      <c r="LST1" s="842"/>
      <c r="LSU1" s="842"/>
      <c r="LSV1" s="842"/>
      <c r="LSW1" s="842"/>
      <c r="LSX1" s="842"/>
      <c r="LSY1" s="842"/>
      <c r="LSZ1" s="842"/>
      <c r="LTA1" s="842"/>
      <c r="LTB1" s="842"/>
      <c r="LTC1" s="842"/>
      <c r="LTD1" s="842"/>
      <c r="LTE1" s="842"/>
      <c r="LTF1" s="842"/>
      <c r="LTG1" s="842"/>
      <c r="LTH1" s="842"/>
      <c r="LTI1" s="842"/>
      <c r="LTJ1" s="842"/>
      <c r="LTK1" s="842"/>
      <c r="LTL1" s="842"/>
      <c r="LTM1" s="842"/>
      <c r="LTN1" s="842"/>
      <c r="LTO1" s="842"/>
      <c r="LTP1" s="842"/>
      <c r="LTQ1" s="842"/>
      <c r="LTR1" s="842"/>
      <c r="LTS1" s="842"/>
      <c r="LTT1" s="842"/>
      <c r="LTU1" s="842"/>
      <c r="LTV1" s="842"/>
      <c r="LTW1" s="842"/>
      <c r="LTX1" s="842"/>
      <c r="LTY1" s="842"/>
      <c r="LTZ1" s="842"/>
      <c r="LUA1" s="842"/>
      <c r="LUB1" s="842"/>
      <c r="LUC1" s="842"/>
      <c r="LUD1" s="842"/>
      <c r="LUE1" s="842"/>
      <c r="LUF1" s="842"/>
      <c r="LUG1" s="842"/>
      <c r="LUH1" s="842"/>
      <c r="LUI1" s="842"/>
      <c r="LUJ1" s="842"/>
      <c r="LUK1" s="842"/>
      <c r="LUL1" s="842"/>
      <c r="LUM1" s="842"/>
      <c r="LUN1" s="842"/>
      <c r="LUO1" s="842"/>
      <c r="LUP1" s="842"/>
      <c r="LUQ1" s="842"/>
      <c r="LUR1" s="842"/>
      <c r="LUS1" s="842"/>
      <c r="LUT1" s="842"/>
      <c r="LUU1" s="842"/>
      <c r="LUV1" s="842"/>
      <c r="LUW1" s="842"/>
      <c r="LUX1" s="842"/>
      <c r="LUY1" s="842"/>
      <c r="LUZ1" s="842"/>
      <c r="LVA1" s="842"/>
      <c r="LVB1" s="842"/>
      <c r="LVC1" s="842"/>
      <c r="LVD1" s="842"/>
      <c r="LVE1" s="842"/>
      <c r="LVF1" s="842"/>
      <c r="LVG1" s="842"/>
      <c r="LVH1" s="842"/>
      <c r="LVI1" s="842"/>
      <c r="LVJ1" s="842"/>
      <c r="LVK1" s="842"/>
      <c r="LVL1" s="842"/>
      <c r="LVM1" s="842"/>
      <c r="LVN1" s="842"/>
      <c r="LVO1" s="842"/>
      <c r="LVP1" s="842"/>
      <c r="LVQ1" s="842"/>
      <c r="LVR1" s="842"/>
      <c r="LVS1" s="842"/>
      <c r="LVT1" s="842"/>
      <c r="LVU1" s="842"/>
      <c r="LVV1" s="842"/>
      <c r="LVW1" s="842"/>
      <c r="LVX1" s="842"/>
      <c r="LVY1" s="842"/>
      <c r="LVZ1" s="842"/>
      <c r="LWA1" s="842"/>
      <c r="LWB1" s="842"/>
      <c r="LWC1" s="842"/>
      <c r="LWD1" s="842"/>
      <c r="LWE1" s="842"/>
      <c r="LWF1" s="842"/>
      <c r="LWG1" s="842"/>
      <c r="LWH1" s="842"/>
      <c r="LWI1" s="842"/>
      <c r="LWJ1" s="842"/>
      <c r="LWK1" s="842"/>
      <c r="LWL1" s="842"/>
      <c r="LWM1" s="842"/>
      <c r="LWN1" s="842"/>
      <c r="LWO1" s="842"/>
      <c r="LWP1" s="842"/>
      <c r="LWQ1" s="842"/>
      <c r="LWR1" s="842"/>
      <c r="LWS1" s="842"/>
      <c r="LWT1" s="842"/>
      <c r="LWU1" s="842"/>
      <c r="LWV1" s="842"/>
      <c r="LWW1" s="842"/>
      <c r="LWX1" s="842"/>
      <c r="LWY1" s="842"/>
      <c r="LWZ1" s="842"/>
      <c r="LXA1" s="842"/>
      <c r="LXB1" s="842"/>
      <c r="LXC1" s="842"/>
      <c r="LXD1" s="842"/>
      <c r="LXE1" s="842"/>
      <c r="LXF1" s="842"/>
      <c r="LXG1" s="842"/>
      <c r="LXH1" s="842"/>
      <c r="LXI1" s="842"/>
      <c r="LXJ1" s="842"/>
      <c r="LXK1" s="842"/>
      <c r="LXL1" s="842"/>
      <c r="LXM1" s="842"/>
      <c r="LXN1" s="842"/>
      <c r="LXO1" s="842"/>
      <c r="LXP1" s="842"/>
      <c r="LXQ1" s="842"/>
      <c r="LXR1" s="842"/>
      <c r="LXS1" s="842"/>
      <c r="LXT1" s="842"/>
      <c r="LXU1" s="842"/>
      <c r="LXV1" s="842"/>
      <c r="LXW1" s="842"/>
      <c r="LXX1" s="842"/>
      <c r="LXY1" s="842"/>
      <c r="LXZ1" s="842"/>
      <c r="LYA1" s="842"/>
      <c r="LYB1" s="842"/>
      <c r="LYC1" s="842"/>
      <c r="LYD1" s="842"/>
      <c r="LYE1" s="842"/>
      <c r="LYF1" s="842"/>
      <c r="LYG1" s="842"/>
      <c r="LYH1" s="842"/>
      <c r="LYI1" s="842"/>
      <c r="LYJ1" s="842"/>
      <c r="LYK1" s="842"/>
      <c r="LYL1" s="842"/>
      <c r="LYM1" s="842"/>
      <c r="LYN1" s="842"/>
      <c r="LYO1" s="842"/>
      <c r="LYP1" s="842"/>
      <c r="LYQ1" s="842"/>
      <c r="LYR1" s="842"/>
      <c r="LYS1" s="842"/>
      <c r="LYT1" s="842"/>
      <c r="LYU1" s="842"/>
      <c r="LYV1" s="842"/>
      <c r="LYW1" s="842"/>
      <c r="LYX1" s="842"/>
      <c r="LYY1" s="842"/>
      <c r="LYZ1" s="842"/>
      <c r="LZA1" s="842"/>
      <c r="LZB1" s="842"/>
      <c r="LZC1" s="842"/>
      <c r="LZD1" s="842"/>
      <c r="LZE1" s="842"/>
      <c r="LZF1" s="842"/>
      <c r="LZG1" s="842"/>
      <c r="LZH1" s="842"/>
      <c r="LZI1" s="842"/>
      <c r="LZJ1" s="842"/>
      <c r="LZK1" s="842"/>
      <c r="LZL1" s="842"/>
      <c r="LZM1" s="842"/>
      <c r="LZN1" s="842"/>
      <c r="LZO1" s="842"/>
      <c r="LZP1" s="842"/>
      <c r="LZQ1" s="842"/>
      <c r="LZR1" s="842"/>
      <c r="LZS1" s="842"/>
      <c r="LZT1" s="842"/>
      <c r="LZU1" s="842"/>
      <c r="LZV1" s="842"/>
      <c r="LZW1" s="842"/>
      <c r="LZX1" s="842"/>
      <c r="LZY1" s="842"/>
      <c r="LZZ1" s="842"/>
      <c r="MAA1" s="842"/>
      <c r="MAB1" s="842"/>
      <c r="MAC1" s="842"/>
      <c r="MAD1" s="842"/>
      <c r="MAE1" s="842"/>
      <c r="MAF1" s="842"/>
      <c r="MAG1" s="842"/>
      <c r="MAH1" s="842"/>
      <c r="MAI1" s="842"/>
      <c r="MAJ1" s="842"/>
      <c r="MAK1" s="842"/>
      <c r="MAL1" s="842"/>
      <c r="MAM1" s="842"/>
      <c r="MAN1" s="842"/>
      <c r="MAO1" s="842"/>
      <c r="MAP1" s="842"/>
      <c r="MAQ1" s="842"/>
      <c r="MAR1" s="842"/>
      <c r="MAS1" s="842"/>
      <c r="MAT1" s="842"/>
      <c r="MAU1" s="842"/>
      <c r="MAV1" s="842"/>
      <c r="MAW1" s="842"/>
      <c r="MAX1" s="842"/>
      <c r="MAY1" s="842"/>
      <c r="MAZ1" s="842"/>
      <c r="MBA1" s="842"/>
      <c r="MBB1" s="842"/>
      <c r="MBC1" s="842"/>
      <c r="MBD1" s="842"/>
      <c r="MBE1" s="842"/>
      <c r="MBF1" s="842"/>
      <c r="MBG1" s="842"/>
      <c r="MBH1" s="842"/>
      <c r="MBI1" s="842"/>
      <c r="MBJ1" s="842"/>
      <c r="MBK1" s="842"/>
      <c r="MBL1" s="842"/>
      <c r="MBM1" s="842"/>
      <c r="MBN1" s="842"/>
      <c r="MBO1" s="842"/>
      <c r="MBP1" s="842"/>
      <c r="MBQ1" s="842"/>
      <c r="MBR1" s="842"/>
      <c r="MBS1" s="842"/>
      <c r="MBT1" s="842"/>
      <c r="MBU1" s="842"/>
      <c r="MBV1" s="842"/>
      <c r="MBW1" s="842"/>
      <c r="MBX1" s="842"/>
      <c r="MBY1" s="842"/>
      <c r="MBZ1" s="842"/>
      <c r="MCA1" s="842"/>
      <c r="MCB1" s="842"/>
      <c r="MCC1" s="842"/>
      <c r="MCD1" s="842"/>
      <c r="MCE1" s="842"/>
      <c r="MCF1" s="842"/>
      <c r="MCG1" s="842"/>
      <c r="MCH1" s="842"/>
      <c r="MCI1" s="842"/>
      <c r="MCJ1" s="842"/>
      <c r="MCK1" s="842"/>
      <c r="MCL1" s="842"/>
      <c r="MCM1" s="842"/>
      <c r="MCN1" s="842"/>
      <c r="MCO1" s="842"/>
      <c r="MCP1" s="842"/>
      <c r="MCQ1" s="842"/>
      <c r="MCR1" s="842"/>
      <c r="MCS1" s="842"/>
      <c r="MCT1" s="842"/>
      <c r="MCU1" s="842"/>
      <c r="MCV1" s="842"/>
      <c r="MCW1" s="842"/>
      <c r="MCX1" s="842"/>
      <c r="MCY1" s="842"/>
      <c r="MCZ1" s="842"/>
      <c r="MDA1" s="842"/>
      <c r="MDB1" s="842"/>
      <c r="MDC1" s="842"/>
      <c r="MDD1" s="842"/>
      <c r="MDE1" s="842"/>
      <c r="MDF1" s="842"/>
      <c r="MDG1" s="842"/>
      <c r="MDH1" s="842"/>
      <c r="MDI1" s="842"/>
      <c r="MDJ1" s="842"/>
      <c r="MDK1" s="842"/>
      <c r="MDL1" s="842"/>
      <c r="MDM1" s="842"/>
      <c r="MDN1" s="842"/>
      <c r="MDO1" s="842"/>
      <c r="MDP1" s="842"/>
      <c r="MDQ1" s="842"/>
      <c r="MDR1" s="842"/>
      <c r="MDS1" s="842"/>
      <c r="MDT1" s="842"/>
      <c r="MDU1" s="842"/>
      <c r="MDV1" s="842"/>
      <c r="MDW1" s="842"/>
      <c r="MDX1" s="842"/>
      <c r="MDY1" s="842"/>
      <c r="MDZ1" s="842"/>
      <c r="MEA1" s="842"/>
      <c r="MEB1" s="842"/>
      <c r="MEC1" s="842"/>
      <c r="MED1" s="842"/>
      <c r="MEE1" s="842"/>
      <c r="MEF1" s="842"/>
      <c r="MEG1" s="842"/>
      <c r="MEH1" s="842"/>
      <c r="MEI1" s="842"/>
      <c r="MEJ1" s="842"/>
      <c r="MEK1" s="842"/>
      <c r="MEL1" s="842"/>
      <c r="MEM1" s="842"/>
      <c r="MEN1" s="842"/>
      <c r="MEO1" s="842"/>
      <c r="MEP1" s="842"/>
      <c r="MEQ1" s="842"/>
      <c r="MER1" s="842"/>
      <c r="MES1" s="842"/>
      <c r="MET1" s="842"/>
      <c r="MEU1" s="842"/>
      <c r="MEV1" s="842"/>
      <c r="MEW1" s="842"/>
      <c r="MEX1" s="842"/>
      <c r="MEY1" s="842"/>
      <c r="MEZ1" s="842"/>
      <c r="MFA1" s="842"/>
      <c r="MFB1" s="842"/>
      <c r="MFC1" s="842"/>
      <c r="MFD1" s="842"/>
      <c r="MFE1" s="842"/>
      <c r="MFF1" s="842"/>
      <c r="MFG1" s="842"/>
      <c r="MFH1" s="842"/>
      <c r="MFI1" s="842"/>
      <c r="MFJ1" s="842"/>
      <c r="MFK1" s="842"/>
      <c r="MFL1" s="842"/>
      <c r="MFM1" s="842"/>
      <c r="MFN1" s="842"/>
      <c r="MFO1" s="842"/>
      <c r="MFP1" s="842"/>
      <c r="MFQ1" s="842"/>
      <c r="MFR1" s="842"/>
      <c r="MFS1" s="842"/>
      <c r="MFT1" s="842"/>
      <c r="MFU1" s="842"/>
      <c r="MFV1" s="842"/>
      <c r="MFW1" s="842"/>
      <c r="MFX1" s="842"/>
      <c r="MFY1" s="842"/>
      <c r="MFZ1" s="842"/>
      <c r="MGA1" s="842"/>
      <c r="MGB1" s="842"/>
      <c r="MGC1" s="842"/>
      <c r="MGD1" s="842"/>
      <c r="MGE1" s="842"/>
      <c r="MGF1" s="842"/>
      <c r="MGG1" s="842"/>
      <c r="MGH1" s="842"/>
      <c r="MGI1" s="842"/>
      <c r="MGJ1" s="842"/>
      <c r="MGK1" s="842"/>
      <c r="MGL1" s="842"/>
      <c r="MGM1" s="842"/>
      <c r="MGN1" s="842"/>
      <c r="MGO1" s="842"/>
      <c r="MGP1" s="842"/>
      <c r="MGQ1" s="842"/>
      <c r="MGR1" s="842"/>
      <c r="MGS1" s="842"/>
      <c r="MGT1" s="842"/>
      <c r="MGU1" s="842"/>
      <c r="MGV1" s="842"/>
      <c r="MGW1" s="842"/>
      <c r="MGX1" s="842"/>
      <c r="MGY1" s="842"/>
      <c r="MGZ1" s="842"/>
      <c r="MHA1" s="842"/>
      <c r="MHB1" s="842"/>
      <c r="MHC1" s="842"/>
      <c r="MHD1" s="842"/>
      <c r="MHE1" s="842"/>
      <c r="MHF1" s="842"/>
      <c r="MHG1" s="842"/>
      <c r="MHH1" s="842"/>
      <c r="MHI1" s="842"/>
      <c r="MHJ1" s="842"/>
      <c r="MHK1" s="842"/>
      <c r="MHL1" s="842"/>
      <c r="MHM1" s="842"/>
      <c r="MHN1" s="842"/>
      <c r="MHO1" s="842"/>
      <c r="MHP1" s="842"/>
      <c r="MHQ1" s="842"/>
      <c r="MHR1" s="842"/>
      <c r="MHS1" s="842"/>
      <c r="MHT1" s="842"/>
      <c r="MHU1" s="842"/>
      <c r="MHV1" s="842"/>
      <c r="MHW1" s="842"/>
      <c r="MHX1" s="842"/>
      <c r="MHY1" s="842"/>
      <c r="MHZ1" s="842"/>
      <c r="MIA1" s="842"/>
      <c r="MIB1" s="842"/>
      <c r="MIC1" s="842"/>
      <c r="MID1" s="842"/>
      <c r="MIE1" s="842"/>
      <c r="MIF1" s="842"/>
      <c r="MIG1" s="842"/>
      <c r="MIH1" s="842"/>
      <c r="MII1" s="842"/>
      <c r="MIJ1" s="842"/>
      <c r="MIK1" s="842"/>
      <c r="MIL1" s="842"/>
      <c r="MIM1" s="842"/>
      <c r="MIN1" s="842"/>
      <c r="MIO1" s="842"/>
      <c r="MIP1" s="842"/>
      <c r="MIQ1" s="842"/>
      <c r="MIR1" s="842"/>
      <c r="MIS1" s="842"/>
      <c r="MIT1" s="842"/>
      <c r="MIU1" s="842"/>
      <c r="MIV1" s="842"/>
      <c r="MIW1" s="842"/>
      <c r="MIX1" s="842"/>
      <c r="MIY1" s="842"/>
      <c r="MIZ1" s="842"/>
      <c r="MJA1" s="842"/>
      <c r="MJB1" s="842"/>
      <c r="MJC1" s="842"/>
      <c r="MJD1" s="842"/>
      <c r="MJE1" s="842"/>
      <c r="MJF1" s="842"/>
      <c r="MJG1" s="842"/>
      <c r="MJH1" s="842"/>
      <c r="MJI1" s="842"/>
      <c r="MJJ1" s="842"/>
      <c r="MJK1" s="842"/>
      <c r="MJL1" s="842"/>
      <c r="MJM1" s="842"/>
      <c r="MJN1" s="842"/>
      <c r="MJO1" s="842"/>
      <c r="MJP1" s="842"/>
      <c r="MJQ1" s="842"/>
      <c r="MJR1" s="842"/>
      <c r="MJS1" s="842"/>
      <c r="MJT1" s="842"/>
      <c r="MJU1" s="842"/>
      <c r="MJV1" s="842"/>
      <c r="MJW1" s="842"/>
      <c r="MJX1" s="842"/>
      <c r="MJY1" s="842"/>
      <c r="MJZ1" s="842"/>
      <c r="MKA1" s="842"/>
      <c r="MKB1" s="842"/>
      <c r="MKC1" s="842"/>
      <c r="MKD1" s="842"/>
      <c r="MKE1" s="842"/>
      <c r="MKF1" s="842"/>
      <c r="MKG1" s="842"/>
      <c r="MKH1" s="842"/>
      <c r="MKI1" s="842"/>
      <c r="MKJ1" s="842"/>
      <c r="MKK1" s="842"/>
      <c r="MKL1" s="842"/>
      <c r="MKM1" s="842"/>
      <c r="MKN1" s="842"/>
      <c r="MKO1" s="842"/>
      <c r="MKP1" s="842"/>
      <c r="MKQ1" s="842"/>
      <c r="MKR1" s="842"/>
      <c r="MKS1" s="842"/>
      <c r="MKT1" s="842"/>
      <c r="MKU1" s="842"/>
      <c r="MKV1" s="842"/>
      <c r="MKW1" s="842"/>
      <c r="MKX1" s="842"/>
      <c r="MKY1" s="842"/>
      <c r="MKZ1" s="842"/>
      <c r="MLA1" s="842"/>
      <c r="MLB1" s="842"/>
      <c r="MLC1" s="842"/>
      <c r="MLD1" s="842"/>
      <c r="MLE1" s="842"/>
      <c r="MLF1" s="842"/>
      <c r="MLG1" s="842"/>
      <c r="MLH1" s="842"/>
      <c r="MLI1" s="842"/>
      <c r="MLJ1" s="842"/>
      <c r="MLK1" s="842"/>
      <c r="MLL1" s="842"/>
      <c r="MLM1" s="842"/>
      <c r="MLN1" s="842"/>
      <c r="MLO1" s="842"/>
      <c r="MLP1" s="842"/>
      <c r="MLQ1" s="842"/>
      <c r="MLR1" s="842"/>
      <c r="MLS1" s="842"/>
      <c r="MLT1" s="842"/>
      <c r="MLU1" s="842"/>
      <c r="MLV1" s="842"/>
      <c r="MLW1" s="842"/>
      <c r="MLX1" s="842"/>
      <c r="MLY1" s="842"/>
      <c r="MLZ1" s="842"/>
      <c r="MMA1" s="842"/>
      <c r="MMB1" s="842"/>
      <c r="MMC1" s="842"/>
      <c r="MMD1" s="842"/>
      <c r="MME1" s="842"/>
      <c r="MMF1" s="842"/>
      <c r="MMG1" s="842"/>
      <c r="MMH1" s="842"/>
      <c r="MMI1" s="842"/>
      <c r="MMJ1" s="842"/>
      <c r="MMK1" s="842"/>
      <c r="MML1" s="842"/>
      <c r="MMM1" s="842"/>
      <c r="MMN1" s="842"/>
      <c r="MMO1" s="842"/>
      <c r="MMP1" s="842"/>
      <c r="MMQ1" s="842"/>
      <c r="MMR1" s="842"/>
      <c r="MMS1" s="842"/>
      <c r="MMT1" s="842"/>
      <c r="MMU1" s="842"/>
      <c r="MMV1" s="842"/>
      <c r="MMW1" s="842"/>
      <c r="MMX1" s="842"/>
      <c r="MMY1" s="842"/>
      <c r="MMZ1" s="842"/>
      <c r="MNA1" s="842"/>
      <c r="MNB1" s="842"/>
      <c r="MNC1" s="842"/>
      <c r="MND1" s="842"/>
      <c r="MNE1" s="842"/>
      <c r="MNF1" s="842"/>
      <c r="MNG1" s="842"/>
      <c r="MNH1" s="842"/>
      <c r="MNI1" s="842"/>
      <c r="MNJ1" s="842"/>
      <c r="MNK1" s="842"/>
      <c r="MNL1" s="842"/>
      <c r="MNM1" s="842"/>
      <c r="MNN1" s="842"/>
      <c r="MNO1" s="842"/>
      <c r="MNP1" s="842"/>
      <c r="MNQ1" s="842"/>
      <c r="MNR1" s="842"/>
      <c r="MNS1" s="842"/>
      <c r="MNT1" s="842"/>
      <c r="MNU1" s="842"/>
      <c r="MNV1" s="842"/>
      <c r="MNW1" s="842"/>
      <c r="MNX1" s="842"/>
      <c r="MNY1" s="842"/>
      <c r="MNZ1" s="842"/>
      <c r="MOA1" s="842"/>
      <c r="MOB1" s="842"/>
      <c r="MOC1" s="842"/>
      <c r="MOD1" s="842"/>
      <c r="MOE1" s="842"/>
      <c r="MOF1" s="842"/>
      <c r="MOG1" s="842"/>
      <c r="MOH1" s="842"/>
      <c r="MOI1" s="842"/>
      <c r="MOJ1" s="842"/>
      <c r="MOK1" s="842"/>
      <c r="MOL1" s="842"/>
      <c r="MOM1" s="842"/>
      <c r="MON1" s="842"/>
      <c r="MOO1" s="842"/>
      <c r="MOP1" s="842"/>
      <c r="MOQ1" s="842"/>
      <c r="MOR1" s="842"/>
      <c r="MOS1" s="842"/>
      <c r="MOT1" s="842"/>
      <c r="MOU1" s="842"/>
      <c r="MOV1" s="842"/>
      <c r="MOW1" s="842"/>
      <c r="MOX1" s="842"/>
      <c r="MOY1" s="842"/>
      <c r="MOZ1" s="842"/>
      <c r="MPA1" s="842"/>
      <c r="MPB1" s="842"/>
      <c r="MPC1" s="842"/>
      <c r="MPD1" s="842"/>
      <c r="MPE1" s="842"/>
      <c r="MPF1" s="842"/>
      <c r="MPG1" s="842"/>
      <c r="MPH1" s="842"/>
      <c r="MPI1" s="842"/>
      <c r="MPJ1" s="842"/>
      <c r="MPK1" s="842"/>
      <c r="MPL1" s="842"/>
      <c r="MPM1" s="842"/>
      <c r="MPN1" s="842"/>
      <c r="MPO1" s="842"/>
      <c r="MPP1" s="842"/>
      <c r="MPQ1" s="842"/>
      <c r="MPR1" s="842"/>
      <c r="MPS1" s="842"/>
      <c r="MPT1" s="842"/>
      <c r="MPU1" s="842"/>
      <c r="MPV1" s="842"/>
      <c r="MPW1" s="842"/>
      <c r="MPX1" s="842"/>
      <c r="MPY1" s="842"/>
      <c r="MPZ1" s="842"/>
      <c r="MQA1" s="842"/>
      <c r="MQB1" s="842"/>
      <c r="MQC1" s="842"/>
      <c r="MQD1" s="842"/>
      <c r="MQE1" s="842"/>
      <c r="MQF1" s="842"/>
      <c r="MQG1" s="842"/>
      <c r="MQH1" s="842"/>
      <c r="MQI1" s="842"/>
      <c r="MQJ1" s="842"/>
      <c r="MQK1" s="842"/>
      <c r="MQL1" s="842"/>
      <c r="MQM1" s="842"/>
      <c r="MQN1" s="842"/>
      <c r="MQO1" s="842"/>
      <c r="MQP1" s="842"/>
      <c r="MQQ1" s="842"/>
      <c r="MQR1" s="842"/>
      <c r="MQS1" s="842"/>
      <c r="MQT1" s="842"/>
      <c r="MQU1" s="842"/>
      <c r="MQV1" s="842"/>
      <c r="MQW1" s="842"/>
      <c r="MQX1" s="842"/>
      <c r="MQY1" s="842"/>
      <c r="MQZ1" s="842"/>
      <c r="MRA1" s="842"/>
      <c r="MRB1" s="842"/>
      <c r="MRC1" s="842"/>
      <c r="MRD1" s="842"/>
      <c r="MRE1" s="842"/>
      <c r="MRF1" s="842"/>
      <c r="MRG1" s="842"/>
      <c r="MRH1" s="842"/>
      <c r="MRI1" s="842"/>
      <c r="MRJ1" s="842"/>
      <c r="MRK1" s="842"/>
      <c r="MRL1" s="842"/>
      <c r="MRM1" s="842"/>
      <c r="MRN1" s="842"/>
      <c r="MRO1" s="842"/>
      <c r="MRP1" s="842"/>
      <c r="MRQ1" s="842"/>
      <c r="MRR1" s="842"/>
      <c r="MRS1" s="842"/>
      <c r="MRT1" s="842"/>
      <c r="MRU1" s="842"/>
      <c r="MRV1" s="842"/>
      <c r="MRW1" s="842"/>
      <c r="MRX1" s="842"/>
      <c r="MRY1" s="842"/>
      <c r="MRZ1" s="842"/>
      <c r="MSA1" s="842"/>
      <c r="MSB1" s="842"/>
      <c r="MSC1" s="842"/>
      <c r="MSD1" s="842"/>
      <c r="MSE1" s="842"/>
      <c r="MSF1" s="842"/>
      <c r="MSG1" s="842"/>
      <c r="MSH1" s="842"/>
      <c r="MSI1" s="842"/>
      <c r="MSJ1" s="842"/>
      <c r="MSK1" s="842"/>
      <c r="MSL1" s="842"/>
      <c r="MSM1" s="842"/>
      <c r="MSN1" s="842"/>
      <c r="MSO1" s="842"/>
      <c r="MSP1" s="842"/>
      <c r="MSQ1" s="842"/>
      <c r="MSR1" s="842"/>
      <c r="MSS1" s="842"/>
      <c r="MST1" s="842"/>
      <c r="MSU1" s="842"/>
      <c r="MSV1" s="842"/>
      <c r="MSW1" s="842"/>
      <c r="MSX1" s="842"/>
      <c r="MSY1" s="842"/>
      <c r="MSZ1" s="842"/>
      <c r="MTA1" s="842"/>
      <c r="MTB1" s="842"/>
      <c r="MTC1" s="842"/>
      <c r="MTD1" s="842"/>
      <c r="MTE1" s="842"/>
      <c r="MTF1" s="842"/>
      <c r="MTG1" s="842"/>
      <c r="MTH1" s="842"/>
      <c r="MTI1" s="842"/>
      <c r="MTJ1" s="842"/>
      <c r="MTK1" s="842"/>
      <c r="MTL1" s="842"/>
      <c r="MTM1" s="842"/>
      <c r="MTN1" s="842"/>
      <c r="MTO1" s="842"/>
      <c r="MTP1" s="842"/>
      <c r="MTQ1" s="842"/>
      <c r="MTR1" s="842"/>
      <c r="MTS1" s="842"/>
      <c r="MTT1" s="842"/>
      <c r="MTU1" s="842"/>
      <c r="MTV1" s="842"/>
      <c r="MTW1" s="842"/>
      <c r="MTX1" s="842"/>
      <c r="MTY1" s="842"/>
      <c r="MTZ1" s="842"/>
      <c r="MUA1" s="842"/>
      <c r="MUB1" s="842"/>
      <c r="MUC1" s="842"/>
      <c r="MUD1" s="842"/>
      <c r="MUE1" s="842"/>
      <c r="MUF1" s="842"/>
      <c r="MUG1" s="842"/>
      <c r="MUH1" s="842"/>
      <c r="MUI1" s="842"/>
      <c r="MUJ1" s="842"/>
      <c r="MUK1" s="842"/>
      <c r="MUL1" s="842"/>
      <c r="MUM1" s="842"/>
      <c r="MUN1" s="842"/>
      <c r="MUO1" s="842"/>
      <c r="MUP1" s="842"/>
      <c r="MUQ1" s="842"/>
      <c r="MUR1" s="842"/>
      <c r="MUS1" s="842"/>
      <c r="MUT1" s="842"/>
      <c r="MUU1" s="842"/>
      <c r="MUV1" s="842"/>
      <c r="MUW1" s="842"/>
      <c r="MUX1" s="842"/>
      <c r="MUY1" s="842"/>
      <c r="MUZ1" s="842"/>
      <c r="MVA1" s="842"/>
      <c r="MVB1" s="842"/>
      <c r="MVC1" s="842"/>
      <c r="MVD1" s="842"/>
      <c r="MVE1" s="842"/>
      <c r="MVF1" s="842"/>
      <c r="MVG1" s="842"/>
      <c r="MVH1" s="842"/>
      <c r="MVI1" s="842"/>
      <c r="MVJ1" s="842"/>
      <c r="MVK1" s="842"/>
      <c r="MVL1" s="842"/>
      <c r="MVM1" s="842"/>
      <c r="MVN1" s="842"/>
      <c r="MVO1" s="842"/>
      <c r="MVP1" s="842"/>
      <c r="MVQ1" s="842"/>
      <c r="MVR1" s="842"/>
      <c r="MVS1" s="842"/>
      <c r="MVT1" s="842"/>
      <c r="MVU1" s="842"/>
      <c r="MVV1" s="842"/>
      <c r="MVW1" s="842"/>
      <c r="MVX1" s="842"/>
      <c r="MVY1" s="842"/>
      <c r="MVZ1" s="842"/>
      <c r="MWA1" s="842"/>
      <c r="MWB1" s="842"/>
      <c r="MWC1" s="842"/>
      <c r="MWD1" s="842"/>
      <c r="MWE1" s="842"/>
      <c r="MWF1" s="842"/>
      <c r="MWG1" s="842"/>
      <c r="MWH1" s="842"/>
      <c r="MWI1" s="842"/>
      <c r="MWJ1" s="842"/>
      <c r="MWK1" s="842"/>
      <c r="MWL1" s="842"/>
      <c r="MWM1" s="842"/>
      <c r="MWN1" s="842"/>
      <c r="MWO1" s="842"/>
      <c r="MWP1" s="842"/>
      <c r="MWQ1" s="842"/>
      <c r="MWR1" s="842"/>
      <c r="MWS1" s="842"/>
      <c r="MWT1" s="842"/>
      <c r="MWU1" s="842"/>
      <c r="MWV1" s="842"/>
      <c r="MWW1" s="842"/>
      <c r="MWX1" s="842"/>
      <c r="MWY1" s="842"/>
      <c r="MWZ1" s="842"/>
      <c r="MXA1" s="842"/>
      <c r="MXB1" s="842"/>
      <c r="MXC1" s="842"/>
      <c r="MXD1" s="842"/>
      <c r="MXE1" s="842"/>
      <c r="MXF1" s="842"/>
      <c r="MXG1" s="842"/>
      <c r="MXH1" s="842"/>
      <c r="MXI1" s="842"/>
      <c r="MXJ1" s="842"/>
      <c r="MXK1" s="842"/>
      <c r="MXL1" s="842"/>
      <c r="MXM1" s="842"/>
      <c r="MXN1" s="842"/>
      <c r="MXO1" s="842"/>
      <c r="MXP1" s="842"/>
      <c r="MXQ1" s="842"/>
      <c r="MXR1" s="842"/>
      <c r="MXS1" s="842"/>
      <c r="MXT1" s="842"/>
      <c r="MXU1" s="842"/>
      <c r="MXV1" s="842"/>
      <c r="MXW1" s="842"/>
      <c r="MXX1" s="842"/>
      <c r="MXY1" s="842"/>
      <c r="MXZ1" s="842"/>
      <c r="MYA1" s="842"/>
      <c r="MYB1" s="842"/>
      <c r="MYC1" s="842"/>
      <c r="MYD1" s="842"/>
      <c r="MYE1" s="842"/>
      <c r="MYF1" s="842"/>
      <c r="MYG1" s="842"/>
      <c r="MYH1" s="842"/>
      <c r="MYI1" s="842"/>
      <c r="MYJ1" s="842"/>
      <c r="MYK1" s="842"/>
      <c r="MYL1" s="842"/>
      <c r="MYM1" s="842"/>
      <c r="MYN1" s="842"/>
      <c r="MYO1" s="842"/>
      <c r="MYP1" s="842"/>
      <c r="MYQ1" s="842"/>
      <c r="MYR1" s="842"/>
      <c r="MYS1" s="842"/>
      <c r="MYT1" s="842"/>
      <c r="MYU1" s="842"/>
      <c r="MYV1" s="842"/>
      <c r="MYW1" s="842"/>
      <c r="MYX1" s="842"/>
      <c r="MYY1" s="842"/>
      <c r="MYZ1" s="842"/>
      <c r="MZA1" s="842"/>
      <c r="MZB1" s="842"/>
      <c r="MZC1" s="842"/>
      <c r="MZD1" s="842"/>
      <c r="MZE1" s="842"/>
      <c r="MZF1" s="842"/>
      <c r="MZG1" s="842"/>
      <c r="MZH1" s="842"/>
      <c r="MZI1" s="842"/>
      <c r="MZJ1" s="842"/>
      <c r="MZK1" s="842"/>
      <c r="MZL1" s="842"/>
      <c r="MZM1" s="842"/>
      <c r="MZN1" s="842"/>
      <c r="MZO1" s="842"/>
      <c r="MZP1" s="842"/>
      <c r="MZQ1" s="842"/>
      <c r="MZR1" s="842"/>
      <c r="MZS1" s="842"/>
      <c r="MZT1" s="842"/>
      <c r="MZU1" s="842"/>
      <c r="MZV1" s="842"/>
      <c r="MZW1" s="842"/>
      <c r="MZX1" s="842"/>
      <c r="MZY1" s="842"/>
      <c r="MZZ1" s="842"/>
      <c r="NAA1" s="842"/>
      <c r="NAB1" s="842"/>
      <c r="NAC1" s="842"/>
      <c r="NAD1" s="842"/>
      <c r="NAE1" s="842"/>
      <c r="NAF1" s="842"/>
      <c r="NAG1" s="842"/>
      <c r="NAH1" s="842"/>
      <c r="NAI1" s="842"/>
      <c r="NAJ1" s="842"/>
      <c r="NAK1" s="842"/>
      <c r="NAL1" s="842"/>
      <c r="NAM1" s="842"/>
      <c r="NAN1" s="842"/>
      <c r="NAO1" s="842"/>
      <c r="NAP1" s="842"/>
      <c r="NAQ1" s="842"/>
      <c r="NAR1" s="842"/>
      <c r="NAS1" s="842"/>
      <c r="NAT1" s="842"/>
      <c r="NAU1" s="842"/>
      <c r="NAV1" s="842"/>
      <c r="NAW1" s="842"/>
      <c r="NAX1" s="842"/>
      <c r="NAY1" s="842"/>
      <c r="NAZ1" s="842"/>
      <c r="NBA1" s="842"/>
      <c r="NBB1" s="842"/>
      <c r="NBC1" s="842"/>
      <c r="NBD1" s="842"/>
      <c r="NBE1" s="842"/>
      <c r="NBF1" s="842"/>
      <c r="NBG1" s="842"/>
      <c r="NBH1" s="842"/>
      <c r="NBI1" s="842"/>
      <c r="NBJ1" s="842"/>
      <c r="NBK1" s="842"/>
      <c r="NBL1" s="842"/>
      <c r="NBM1" s="842"/>
      <c r="NBN1" s="842"/>
      <c r="NBO1" s="842"/>
      <c r="NBP1" s="842"/>
      <c r="NBQ1" s="842"/>
      <c r="NBR1" s="842"/>
      <c r="NBS1" s="842"/>
      <c r="NBT1" s="842"/>
      <c r="NBU1" s="842"/>
      <c r="NBV1" s="842"/>
      <c r="NBW1" s="842"/>
      <c r="NBX1" s="842"/>
      <c r="NBY1" s="842"/>
      <c r="NBZ1" s="842"/>
      <c r="NCA1" s="842"/>
      <c r="NCB1" s="842"/>
      <c r="NCC1" s="842"/>
      <c r="NCD1" s="842"/>
      <c r="NCE1" s="842"/>
      <c r="NCF1" s="842"/>
      <c r="NCG1" s="842"/>
      <c r="NCH1" s="842"/>
      <c r="NCI1" s="842"/>
      <c r="NCJ1" s="842"/>
      <c r="NCK1" s="842"/>
      <c r="NCL1" s="842"/>
      <c r="NCM1" s="842"/>
      <c r="NCN1" s="842"/>
      <c r="NCO1" s="842"/>
      <c r="NCP1" s="842"/>
      <c r="NCQ1" s="842"/>
      <c r="NCR1" s="842"/>
      <c r="NCS1" s="842"/>
      <c r="NCT1" s="842"/>
      <c r="NCU1" s="842"/>
      <c r="NCV1" s="842"/>
      <c r="NCW1" s="842"/>
      <c r="NCX1" s="842"/>
      <c r="NCY1" s="842"/>
      <c r="NCZ1" s="842"/>
      <c r="NDA1" s="842"/>
      <c r="NDB1" s="842"/>
      <c r="NDC1" s="842"/>
      <c r="NDD1" s="842"/>
      <c r="NDE1" s="842"/>
      <c r="NDF1" s="842"/>
      <c r="NDG1" s="842"/>
      <c r="NDH1" s="842"/>
      <c r="NDI1" s="842"/>
      <c r="NDJ1" s="842"/>
      <c r="NDK1" s="842"/>
      <c r="NDL1" s="842"/>
      <c r="NDM1" s="842"/>
      <c r="NDN1" s="842"/>
      <c r="NDO1" s="842"/>
      <c r="NDP1" s="842"/>
      <c r="NDQ1" s="842"/>
      <c r="NDR1" s="842"/>
      <c r="NDS1" s="842"/>
      <c r="NDT1" s="842"/>
      <c r="NDU1" s="842"/>
      <c r="NDV1" s="842"/>
      <c r="NDW1" s="842"/>
      <c r="NDX1" s="842"/>
      <c r="NDY1" s="842"/>
      <c r="NDZ1" s="842"/>
      <c r="NEA1" s="842"/>
      <c r="NEB1" s="842"/>
      <c r="NEC1" s="842"/>
      <c r="NED1" s="842"/>
      <c r="NEE1" s="842"/>
      <c r="NEF1" s="842"/>
      <c r="NEG1" s="842"/>
      <c r="NEH1" s="842"/>
      <c r="NEI1" s="842"/>
      <c r="NEJ1" s="842"/>
      <c r="NEK1" s="842"/>
      <c r="NEL1" s="842"/>
      <c r="NEM1" s="842"/>
      <c r="NEN1" s="842"/>
      <c r="NEO1" s="842"/>
      <c r="NEP1" s="842"/>
      <c r="NEQ1" s="842"/>
      <c r="NER1" s="842"/>
      <c r="NES1" s="842"/>
      <c r="NET1" s="842"/>
      <c r="NEU1" s="842"/>
      <c r="NEV1" s="842"/>
      <c r="NEW1" s="842"/>
      <c r="NEX1" s="842"/>
      <c r="NEY1" s="842"/>
      <c r="NEZ1" s="842"/>
      <c r="NFA1" s="842"/>
      <c r="NFB1" s="842"/>
      <c r="NFC1" s="842"/>
      <c r="NFD1" s="842"/>
      <c r="NFE1" s="842"/>
      <c r="NFF1" s="842"/>
      <c r="NFG1" s="842"/>
      <c r="NFH1" s="842"/>
      <c r="NFI1" s="842"/>
      <c r="NFJ1" s="842"/>
      <c r="NFK1" s="842"/>
      <c r="NFL1" s="842"/>
      <c r="NFM1" s="842"/>
      <c r="NFN1" s="842"/>
      <c r="NFO1" s="842"/>
      <c r="NFP1" s="842"/>
      <c r="NFQ1" s="842"/>
      <c r="NFR1" s="842"/>
      <c r="NFS1" s="842"/>
      <c r="NFT1" s="842"/>
      <c r="NFU1" s="842"/>
      <c r="NFV1" s="842"/>
      <c r="NFW1" s="842"/>
      <c r="NFX1" s="842"/>
      <c r="NFY1" s="842"/>
      <c r="NFZ1" s="842"/>
      <c r="NGA1" s="842"/>
      <c r="NGB1" s="842"/>
      <c r="NGC1" s="842"/>
      <c r="NGD1" s="842"/>
      <c r="NGE1" s="842"/>
      <c r="NGF1" s="842"/>
      <c r="NGG1" s="842"/>
      <c r="NGH1" s="842"/>
      <c r="NGI1" s="842"/>
      <c r="NGJ1" s="842"/>
      <c r="NGK1" s="842"/>
      <c r="NGL1" s="842"/>
      <c r="NGM1" s="842"/>
      <c r="NGN1" s="842"/>
      <c r="NGO1" s="842"/>
      <c r="NGP1" s="842"/>
      <c r="NGQ1" s="842"/>
      <c r="NGR1" s="842"/>
      <c r="NGS1" s="842"/>
      <c r="NGT1" s="842"/>
      <c r="NGU1" s="842"/>
      <c r="NGV1" s="842"/>
      <c r="NGW1" s="842"/>
      <c r="NGX1" s="842"/>
      <c r="NGY1" s="842"/>
      <c r="NGZ1" s="842"/>
      <c r="NHA1" s="842"/>
      <c r="NHB1" s="842"/>
      <c r="NHC1" s="842"/>
      <c r="NHD1" s="842"/>
      <c r="NHE1" s="842"/>
      <c r="NHF1" s="842"/>
      <c r="NHG1" s="842"/>
      <c r="NHH1" s="842"/>
      <c r="NHI1" s="842"/>
      <c r="NHJ1" s="842"/>
      <c r="NHK1" s="842"/>
      <c r="NHL1" s="842"/>
      <c r="NHM1" s="842"/>
      <c r="NHN1" s="842"/>
      <c r="NHO1" s="842"/>
      <c r="NHP1" s="842"/>
      <c r="NHQ1" s="842"/>
      <c r="NHR1" s="842"/>
      <c r="NHS1" s="842"/>
      <c r="NHT1" s="842"/>
      <c r="NHU1" s="842"/>
      <c r="NHV1" s="842"/>
      <c r="NHW1" s="842"/>
      <c r="NHX1" s="842"/>
      <c r="NHY1" s="842"/>
      <c r="NHZ1" s="842"/>
      <c r="NIA1" s="842"/>
      <c r="NIB1" s="842"/>
      <c r="NIC1" s="842"/>
      <c r="NID1" s="842"/>
      <c r="NIE1" s="842"/>
      <c r="NIF1" s="842"/>
      <c r="NIG1" s="842"/>
      <c r="NIH1" s="842"/>
      <c r="NII1" s="842"/>
      <c r="NIJ1" s="842"/>
      <c r="NIK1" s="842"/>
      <c r="NIL1" s="842"/>
      <c r="NIM1" s="842"/>
      <c r="NIN1" s="842"/>
      <c r="NIO1" s="842"/>
      <c r="NIP1" s="842"/>
      <c r="NIQ1" s="842"/>
      <c r="NIR1" s="842"/>
      <c r="NIS1" s="842"/>
      <c r="NIT1" s="842"/>
      <c r="NIU1" s="842"/>
      <c r="NIV1" s="842"/>
      <c r="NIW1" s="842"/>
      <c r="NIX1" s="842"/>
      <c r="NIY1" s="842"/>
      <c r="NIZ1" s="842"/>
      <c r="NJA1" s="842"/>
      <c r="NJB1" s="842"/>
      <c r="NJC1" s="842"/>
      <c r="NJD1" s="842"/>
      <c r="NJE1" s="842"/>
      <c r="NJF1" s="842"/>
      <c r="NJG1" s="842"/>
      <c r="NJH1" s="842"/>
      <c r="NJI1" s="842"/>
      <c r="NJJ1" s="842"/>
      <c r="NJK1" s="842"/>
      <c r="NJL1" s="842"/>
      <c r="NJM1" s="842"/>
      <c r="NJN1" s="842"/>
      <c r="NJO1" s="842"/>
      <c r="NJP1" s="842"/>
      <c r="NJQ1" s="842"/>
      <c r="NJR1" s="842"/>
      <c r="NJS1" s="842"/>
      <c r="NJT1" s="842"/>
      <c r="NJU1" s="842"/>
      <c r="NJV1" s="842"/>
      <c r="NJW1" s="842"/>
      <c r="NJX1" s="842"/>
      <c r="NJY1" s="842"/>
      <c r="NJZ1" s="842"/>
      <c r="NKA1" s="842"/>
      <c r="NKB1" s="842"/>
      <c r="NKC1" s="842"/>
      <c r="NKD1" s="842"/>
      <c r="NKE1" s="842"/>
      <c r="NKF1" s="842"/>
      <c r="NKG1" s="842"/>
      <c r="NKH1" s="842"/>
      <c r="NKI1" s="842"/>
      <c r="NKJ1" s="842"/>
      <c r="NKK1" s="842"/>
      <c r="NKL1" s="842"/>
      <c r="NKM1" s="842"/>
      <c r="NKN1" s="842"/>
      <c r="NKO1" s="842"/>
      <c r="NKP1" s="842"/>
      <c r="NKQ1" s="842"/>
      <c r="NKR1" s="842"/>
      <c r="NKS1" s="842"/>
      <c r="NKT1" s="842"/>
      <c r="NKU1" s="842"/>
      <c r="NKV1" s="842"/>
      <c r="NKW1" s="842"/>
      <c r="NKX1" s="842"/>
      <c r="NKY1" s="842"/>
      <c r="NKZ1" s="842"/>
      <c r="NLA1" s="842"/>
      <c r="NLB1" s="842"/>
      <c r="NLC1" s="842"/>
      <c r="NLD1" s="842"/>
      <c r="NLE1" s="842"/>
      <c r="NLF1" s="842"/>
      <c r="NLG1" s="842"/>
      <c r="NLH1" s="842"/>
      <c r="NLI1" s="842"/>
      <c r="NLJ1" s="842"/>
      <c r="NLK1" s="842"/>
      <c r="NLL1" s="842"/>
      <c r="NLM1" s="842"/>
      <c r="NLN1" s="842"/>
      <c r="NLO1" s="842"/>
      <c r="NLP1" s="842"/>
      <c r="NLQ1" s="842"/>
      <c r="NLR1" s="842"/>
      <c r="NLS1" s="842"/>
      <c r="NLT1" s="842"/>
      <c r="NLU1" s="842"/>
      <c r="NLV1" s="842"/>
      <c r="NLW1" s="842"/>
      <c r="NLX1" s="842"/>
      <c r="NLY1" s="842"/>
      <c r="NLZ1" s="842"/>
      <c r="NMA1" s="842"/>
      <c r="NMB1" s="842"/>
      <c r="NMC1" s="842"/>
      <c r="NMD1" s="842"/>
      <c r="NME1" s="842"/>
      <c r="NMF1" s="842"/>
      <c r="NMG1" s="842"/>
      <c r="NMH1" s="842"/>
      <c r="NMI1" s="842"/>
      <c r="NMJ1" s="842"/>
      <c r="NMK1" s="842"/>
      <c r="NML1" s="842"/>
      <c r="NMM1" s="842"/>
      <c r="NMN1" s="842"/>
      <c r="NMO1" s="842"/>
      <c r="NMP1" s="842"/>
      <c r="NMQ1" s="842"/>
      <c r="NMR1" s="842"/>
      <c r="NMS1" s="842"/>
      <c r="NMT1" s="842"/>
      <c r="NMU1" s="842"/>
      <c r="NMV1" s="842"/>
      <c r="NMW1" s="842"/>
      <c r="NMX1" s="842"/>
      <c r="NMY1" s="842"/>
      <c r="NMZ1" s="842"/>
      <c r="NNA1" s="842"/>
      <c r="NNB1" s="842"/>
      <c r="NNC1" s="842"/>
      <c r="NND1" s="842"/>
      <c r="NNE1" s="842"/>
      <c r="NNF1" s="842"/>
      <c r="NNG1" s="842"/>
      <c r="NNH1" s="842"/>
      <c r="NNI1" s="842"/>
      <c r="NNJ1" s="842"/>
      <c r="NNK1" s="842"/>
      <c r="NNL1" s="842"/>
      <c r="NNM1" s="842"/>
      <c r="NNN1" s="842"/>
      <c r="NNO1" s="842"/>
      <c r="NNP1" s="842"/>
      <c r="NNQ1" s="842"/>
      <c r="NNR1" s="842"/>
      <c r="NNS1" s="842"/>
      <c r="NNT1" s="842"/>
      <c r="NNU1" s="842"/>
      <c r="NNV1" s="842"/>
      <c r="NNW1" s="842"/>
      <c r="NNX1" s="842"/>
      <c r="NNY1" s="842"/>
      <c r="NNZ1" s="842"/>
      <c r="NOA1" s="842"/>
      <c r="NOB1" s="842"/>
      <c r="NOC1" s="842"/>
      <c r="NOD1" s="842"/>
      <c r="NOE1" s="842"/>
      <c r="NOF1" s="842"/>
      <c r="NOG1" s="842"/>
      <c r="NOH1" s="842"/>
      <c r="NOI1" s="842"/>
      <c r="NOJ1" s="842"/>
      <c r="NOK1" s="842"/>
      <c r="NOL1" s="842"/>
      <c r="NOM1" s="842"/>
      <c r="NON1" s="842"/>
      <c r="NOO1" s="842"/>
      <c r="NOP1" s="842"/>
      <c r="NOQ1" s="842"/>
      <c r="NOR1" s="842"/>
      <c r="NOS1" s="842"/>
      <c r="NOT1" s="842"/>
      <c r="NOU1" s="842"/>
      <c r="NOV1" s="842"/>
      <c r="NOW1" s="842"/>
      <c r="NOX1" s="842"/>
      <c r="NOY1" s="842"/>
      <c r="NOZ1" s="842"/>
      <c r="NPA1" s="842"/>
      <c r="NPB1" s="842"/>
      <c r="NPC1" s="842"/>
      <c r="NPD1" s="842"/>
      <c r="NPE1" s="842"/>
      <c r="NPF1" s="842"/>
      <c r="NPG1" s="842"/>
      <c r="NPH1" s="842"/>
      <c r="NPI1" s="842"/>
      <c r="NPJ1" s="842"/>
      <c r="NPK1" s="842"/>
      <c r="NPL1" s="842"/>
      <c r="NPM1" s="842"/>
      <c r="NPN1" s="842"/>
      <c r="NPO1" s="842"/>
      <c r="NPP1" s="842"/>
      <c r="NPQ1" s="842"/>
      <c r="NPR1" s="842"/>
      <c r="NPS1" s="842"/>
      <c r="NPT1" s="842"/>
      <c r="NPU1" s="842"/>
      <c r="NPV1" s="842"/>
      <c r="NPW1" s="842"/>
      <c r="NPX1" s="842"/>
      <c r="NPY1" s="842"/>
      <c r="NPZ1" s="842"/>
      <c r="NQA1" s="842"/>
      <c r="NQB1" s="842"/>
      <c r="NQC1" s="842"/>
      <c r="NQD1" s="842"/>
      <c r="NQE1" s="842"/>
      <c r="NQF1" s="842"/>
      <c r="NQG1" s="842"/>
      <c r="NQH1" s="842"/>
      <c r="NQI1" s="842"/>
      <c r="NQJ1" s="842"/>
      <c r="NQK1" s="842"/>
      <c r="NQL1" s="842"/>
      <c r="NQM1" s="842"/>
      <c r="NQN1" s="842"/>
      <c r="NQO1" s="842"/>
      <c r="NQP1" s="842"/>
      <c r="NQQ1" s="842"/>
      <c r="NQR1" s="842"/>
      <c r="NQS1" s="842"/>
      <c r="NQT1" s="842"/>
      <c r="NQU1" s="842"/>
      <c r="NQV1" s="842"/>
      <c r="NQW1" s="842"/>
      <c r="NQX1" s="842"/>
      <c r="NQY1" s="842"/>
      <c r="NQZ1" s="842"/>
      <c r="NRA1" s="842"/>
      <c r="NRB1" s="842"/>
      <c r="NRC1" s="842"/>
      <c r="NRD1" s="842"/>
      <c r="NRE1" s="842"/>
      <c r="NRF1" s="842"/>
      <c r="NRG1" s="842"/>
      <c r="NRH1" s="842"/>
      <c r="NRI1" s="842"/>
      <c r="NRJ1" s="842"/>
      <c r="NRK1" s="842"/>
      <c r="NRL1" s="842"/>
      <c r="NRM1" s="842"/>
      <c r="NRN1" s="842"/>
      <c r="NRO1" s="842"/>
      <c r="NRP1" s="842"/>
      <c r="NRQ1" s="842"/>
      <c r="NRR1" s="842"/>
      <c r="NRS1" s="842"/>
      <c r="NRT1" s="842"/>
      <c r="NRU1" s="842"/>
      <c r="NRV1" s="842"/>
      <c r="NRW1" s="842"/>
      <c r="NRX1" s="842"/>
      <c r="NRY1" s="842"/>
      <c r="NRZ1" s="842"/>
      <c r="NSA1" s="842"/>
      <c r="NSB1" s="842"/>
      <c r="NSC1" s="842"/>
      <c r="NSD1" s="842"/>
      <c r="NSE1" s="842"/>
      <c r="NSF1" s="842"/>
      <c r="NSG1" s="842"/>
      <c r="NSH1" s="842"/>
      <c r="NSI1" s="842"/>
      <c r="NSJ1" s="842"/>
      <c r="NSK1" s="842"/>
      <c r="NSL1" s="842"/>
      <c r="NSM1" s="842"/>
      <c r="NSN1" s="842"/>
      <c r="NSO1" s="842"/>
      <c r="NSP1" s="842"/>
      <c r="NSQ1" s="842"/>
      <c r="NSR1" s="842"/>
      <c r="NSS1" s="842"/>
      <c r="NST1" s="842"/>
      <c r="NSU1" s="842"/>
      <c r="NSV1" s="842"/>
      <c r="NSW1" s="842"/>
      <c r="NSX1" s="842"/>
      <c r="NSY1" s="842"/>
      <c r="NSZ1" s="842"/>
      <c r="NTA1" s="842"/>
      <c r="NTB1" s="842"/>
      <c r="NTC1" s="842"/>
      <c r="NTD1" s="842"/>
      <c r="NTE1" s="842"/>
      <c r="NTF1" s="842"/>
      <c r="NTG1" s="842"/>
      <c r="NTH1" s="842"/>
      <c r="NTI1" s="842"/>
      <c r="NTJ1" s="842"/>
      <c r="NTK1" s="842"/>
      <c r="NTL1" s="842"/>
      <c r="NTM1" s="842"/>
      <c r="NTN1" s="842"/>
      <c r="NTO1" s="842"/>
      <c r="NTP1" s="842"/>
      <c r="NTQ1" s="842"/>
      <c r="NTR1" s="842"/>
      <c r="NTS1" s="842"/>
      <c r="NTT1" s="842"/>
      <c r="NTU1" s="842"/>
      <c r="NTV1" s="842"/>
      <c r="NTW1" s="842"/>
      <c r="NTX1" s="842"/>
      <c r="NTY1" s="842"/>
      <c r="NTZ1" s="842"/>
      <c r="NUA1" s="842"/>
      <c r="NUB1" s="842"/>
      <c r="NUC1" s="842"/>
      <c r="NUD1" s="842"/>
      <c r="NUE1" s="842"/>
      <c r="NUF1" s="842"/>
      <c r="NUG1" s="842"/>
      <c r="NUH1" s="842"/>
      <c r="NUI1" s="842"/>
      <c r="NUJ1" s="842"/>
      <c r="NUK1" s="842"/>
      <c r="NUL1" s="842"/>
      <c r="NUM1" s="842"/>
      <c r="NUN1" s="842"/>
      <c r="NUO1" s="842"/>
      <c r="NUP1" s="842"/>
      <c r="NUQ1" s="842"/>
      <c r="NUR1" s="842"/>
      <c r="NUS1" s="842"/>
      <c r="NUT1" s="842"/>
      <c r="NUU1" s="842"/>
      <c r="NUV1" s="842"/>
      <c r="NUW1" s="842"/>
      <c r="NUX1" s="842"/>
      <c r="NUY1" s="842"/>
      <c r="NUZ1" s="842"/>
      <c r="NVA1" s="842"/>
      <c r="NVB1" s="842"/>
      <c r="NVC1" s="842"/>
      <c r="NVD1" s="842"/>
      <c r="NVE1" s="842"/>
      <c r="NVF1" s="842"/>
      <c r="NVG1" s="842"/>
      <c r="NVH1" s="842"/>
      <c r="NVI1" s="842"/>
      <c r="NVJ1" s="842"/>
      <c r="NVK1" s="842"/>
      <c r="NVL1" s="842"/>
      <c r="NVM1" s="842"/>
      <c r="NVN1" s="842"/>
      <c r="NVO1" s="842"/>
      <c r="NVP1" s="842"/>
      <c r="NVQ1" s="842"/>
      <c r="NVR1" s="842"/>
      <c r="NVS1" s="842"/>
      <c r="NVT1" s="842"/>
      <c r="NVU1" s="842"/>
      <c r="NVV1" s="842"/>
      <c r="NVW1" s="842"/>
      <c r="NVX1" s="842"/>
      <c r="NVY1" s="842"/>
      <c r="NVZ1" s="842"/>
      <c r="NWA1" s="842"/>
      <c r="NWB1" s="842"/>
      <c r="NWC1" s="842"/>
      <c r="NWD1" s="842"/>
      <c r="NWE1" s="842"/>
      <c r="NWF1" s="842"/>
      <c r="NWG1" s="842"/>
      <c r="NWH1" s="842"/>
      <c r="NWI1" s="842"/>
      <c r="NWJ1" s="842"/>
      <c r="NWK1" s="842"/>
      <c r="NWL1" s="842"/>
      <c r="NWM1" s="842"/>
      <c r="NWN1" s="842"/>
      <c r="NWO1" s="842"/>
      <c r="NWP1" s="842"/>
      <c r="NWQ1" s="842"/>
      <c r="NWR1" s="842"/>
      <c r="NWS1" s="842"/>
      <c r="NWT1" s="842"/>
      <c r="NWU1" s="842"/>
      <c r="NWV1" s="842"/>
      <c r="NWW1" s="842"/>
      <c r="NWX1" s="842"/>
      <c r="NWY1" s="842"/>
      <c r="NWZ1" s="842"/>
      <c r="NXA1" s="842"/>
      <c r="NXB1" s="842"/>
      <c r="NXC1" s="842"/>
      <c r="NXD1" s="842"/>
      <c r="NXE1" s="842"/>
      <c r="NXF1" s="842"/>
      <c r="NXG1" s="842"/>
      <c r="NXH1" s="842"/>
      <c r="NXI1" s="842"/>
      <c r="NXJ1" s="842"/>
      <c r="NXK1" s="842"/>
      <c r="NXL1" s="842"/>
      <c r="NXM1" s="842"/>
      <c r="NXN1" s="842"/>
      <c r="NXO1" s="842"/>
      <c r="NXP1" s="842"/>
      <c r="NXQ1" s="842"/>
      <c r="NXR1" s="842"/>
      <c r="NXS1" s="842"/>
      <c r="NXT1" s="842"/>
      <c r="NXU1" s="842"/>
      <c r="NXV1" s="842"/>
      <c r="NXW1" s="842"/>
      <c r="NXX1" s="842"/>
      <c r="NXY1" s="842"/>
      <c r="NXZ1" s="842"/>
      <c r="NYA1" s="842"/>
      <c r="NYB1" s="842"/>
      <c r="NYC1" s="842"/>
      <c r="NYD1" s="842"/>
      <c r="NYE1" s="842"/>
      <c r="NYF1" s="842"/>
      <c r="NYG1" s="842"/>
      <c r="NYH1" s="842"/>
      <c r="NYI1" s="842"/>
      <c r="NYJ1" s="842"/>
      <c r="NYK1" s="842"/>
      <c r="NYL1" s="842"/>
      <c r="NYM1" s="842"/>
      <c r="NYN1" s="842"/>
      <c r="NYO1" s="842"/>
      <c r="NYP1" s="842"/>
      <c r="NYQ1" s="842"/>
      <c r="NYR1" s="842"/>
      <c r="NYS1" s="842"/>
      <c r="NYT1" s="842"/>
      <c r="NYU1" s="842"/>
      <c r="NYV1" s="842"/>
      <c r="NYW1" s="842"/>
      <c r="NYX1" s="842"/>
      <c r="NYY1" s="842"/>
      <c r="NYZ1" s="842"/>
      <c r="NZA1" s="842"/>
      <c r="NZB1" s="842"/>
      <c r="NZC1" s="842"/>
      <c r="NZD1" s="842"/>
      <c r="NZE1" s="842"/>
      <c r="NZF1" s="842"/>
      <c r="NZG1" s="842"/>
      <c r="NZH1" s="842"/>
      <c r="NZI1" s="842"/>
      <c r="NZJ1" s="842"/>
      <c r="NZK1" s="842"/>
      <c r="NZL1" s="842"/>
      <c r="NZM1" s="842"/>
      <c r="NZN1" s="842"/>
      <c r="NZO1" s="842"/>
      <c r="NZP1" s="842"/>
      <c r="NZQ1" s="842"/>
      <c r="NZR1" s="842"/>
      <c r="NZS1" s="842"/>
      <c r="NZT1" s="842"/>
      <c r="NZU1" s="842"/>
      <c r="NZV1" s="842"/>
      <c r="NZW1" s="842"/>
      <c r="NZX1" s="842"/>
      <c r="NZY1" s="842"/>
      <c r="NZZ1" s="842"/>
      <c r="OAA1" s="842"/>
      <c r="OAB1" s="842"/>
      <c r="OAC1" s="842"/>
      <c r="OAD1" s="842"/>
      <c r="OAE1" s="842"/>
      <c r="OAF1" s="842"/>
      <c r="OAG1" s="842"/>
      <c r="OAH1" s="842"/>
      <c r="OAI1" s="842"/>
      <c r="OAJ1" s="842"/>
      <c r="OAK1" s="842"/>
      <c r="OAL1" s="842"/>
      <c r="OAM1" s="842"/>
      <c r="OAN1" s="842"/>
      <c r="OAO1" s="842"/>
      <c r="OAP1" s="842"/>
      <c r="OAQ1" s="842"/>
      <c r="OAR1" s="842"/>
      <c r="OAS1" s="842"/>
      <c r="OAT1" s="842"/>
      <c r="OAU1" s="842"/>
      <c r="OAV1" s="842"/>
      <c r="OAW1" s="842"/>
      <c r="OAX1" s="842"/>
      <c r="OAY1" s="842"/>
      <c r="OAZ1" s="842"/>
      <c r="OBA1" s="842"/>
      <c r="OBB1" s="842"/>
      <c r="OBC1" s="842"/>
      <c r="OBD1" s="842"/>
      <c r="OBE1" s="842"/>
      <c r="OBF1" s="842"/>
      <c r="OBG1" s="842"/>
      <c r="OBH1" s="842"/>
      <c r="OBI1" s="842"/>
      <c r="OBJ1" s="842"/>
      <c r="OBK1" s="842"/>
      <c r="OBL1" s="842"/>
      <c r="OBM1" s="842"/>
      <c r="OBN1" s="842"/>
      <c r="OBO1" s="842"/>
      <c r="OBP1" s="842"/>
      <c r="OBQ1" s="842"/>
      <c r="OBR1" s="842"/>
      <c r="OBS1" s="842"/>
      <c r="OBT1" s="842"/>
      <c r="OBU1" s="842"/>
      <c r="OBV1" s="842"/>
      <c r="OBW1" s="842"/>
      <c r="OBX1" s="842"/>
      <c r="OBY1" s="842"/>
      <c r="OBZ1" s="842"/>
      <c r="OCA1" s="842"/>
      <c r="OCB1" s="842"/>
      <c r="OCC1" s="842"/>
      <c r="OCD1" s="842"/>
      <c r="OCE1" s="842"/>
      <c r="OCF1" s="842"/>
      <c r="OCG1" s="842"/>
      <c r="OCH1" s="842"/>
      <c r="OCI1" s="842"/>
      <c r="OCJ1" s="842"/>
      <c r="OCK1" s="842"/>
      <c r="OCL1" s="842"/>
      <c r="OCM1" s="842"/>
      <c r="OCN1" s="842"/>
      <c r="OCO1" s="842"/>
      <c r="OCP1" s="842"/>
      <c r="OCQ1" s="842"/>
      <c r="OCR1" s="842"/>
      <c r="OCS1" s="842"/>
      <c r="OCT1" s="842"/>
      <c r="OCU1" s="842"/>
      <c r="OCV1" s="842"/>
      <c r="OCW1" s="842"/>
      <c r="OCX1" s="842"/>
      <c r="OCY1" s="842"/>
      <c r="OCZ1" s="842"/>
      <c r="ODA1" s="842"/>
      <c r="ODB1" s="842"/>
      <c r="ODC1" s="842"/>
      <c r="ODD1" s="842"/>
      <c r="ODE1" s="842"/>
      <c r="ODF1" s="842"/>
      <c r="ODG1" s="842"/>
      <c r="ODH1" s="842"/>
      <c r="ODI1" s="842"/>
      <c r="ODJ1" s="842"/>
      <c r="ODK1" s="842"/>
      <c r="ODL1" s="842"/>
      <c r="ODM1" s="842"/>
      <c r="ODN1" s="842"/>
      <c r="ODO1" s="842"/>
      <c r="ODP1" s="842"/>
      <c r="ODQ1" s="842"/>
      <c r="ODR1" s="842"/>
      <c r="ODS1" s="842"/>
      <c r="ODT1" s="842"/>
      <c r="ODU1" s="842"/>
      <c r="ODV1" s="842"/>
      <c r="ODW1" s="842"/>
      <c r="ODX1" s="842"/>
      <c r="ODY1" s="842"/>
      <c r="ODZ1" s="842"/>
      <c r="OEA1" s="842"/>
      <c r="OEB1" s="842"/>
      <c r="OEC1" s="842"/>
      <c r="OED1" s="842"/>
      <c r="OEE1" s="842"/>
      <c r="OEF1" s="842"/>
      <c r="OEG1" s="842"/>
      <c r="OEH1" s="842"/>
      <c r="OEI1" s="842"/>
      <c r="OEJ1" s="842"/>
      <c r="OEK1" s="842"/>
      <c r="OEL1" s="842"/>
      <c r="OEM1" s="842"/>
      <c r="OEN1" s="842"/>
      <c r="OEO1" s="842"/>
      <c r="OEP1" s="842"/>
      <c r="OEQ1" s="842"/>
      <c r="OER1" s="842"/>
      <c r="OES1" s="842"/>
      <c r="OET1" s="842"/>
      <c r="OEU1" s="842"/>
      <c r="OEV1" s="842"/>
      <c r="OEW1" s="842"/>
      <c r="OEX1" s="842"/>
      <c r="OEY1" s="842"/>
      <c r="OEZ1" s="842"/>
      <c r="OFA1" s="842"/>
      <c r="OFB1" s="842"/>
      <c r="OFC1" s="842"/>
      <c r="OFD1" s="842"/>
      <c r="OFE1" s="842"/>
      <c r="OFF1" s="842"/>
      <c r="OFG1" s="842"/>
      <c r="OFH1" s="842"/>
      <c r="OFI1" s="842"/>
      <c r="OFJ1" s="842"/>
      <c r="OFK1" s="842"/>
      <c r="OFL1" s="842"/>
      <c r="OFM1" s="842"/>
      <c r="OFN1" s="842"/>
      <c r="OFO1" s="842"/>
      <c r="OFP1" s="842"/>
      <c r="OFQ1" s="842"/>
      <c r="OFR1" s="842"/>
      <c r="OFS1" s="842"/>
      <c r="OFT1" s="842"/>
      <c r="OFU1" s="842"/>
      <c r="OFV1" s="842"/>
      <c r="OFW1" s="842"/>
      <c r="OFX1" s="842"/>
      <c r="OFY1" s="842"/>
      <c r="OFZ1" s="842"/>
      <c r="OGA1" s="842"/>
      <c r="OGB1" s="842"/>
      <c r="OGC1" s="842"/>
      <c r="OGD1" s="842"/>
      <c r="OGE1" s="842"/>
      <c r="OGF1" s="842"/>
      <c r="OGG1" s="842"/>
      <c r="OGH1" s="842"/>
      <c r="OGI1" s="842"/>
      <c r="OGJ1" s="842"/>
      <c r="OGK1" s="842"/>
      <c r="OGL1" s="842"/>
      <c r="OGM1" s="842"/>
      <c r="OGN1" s="842"/>
      <c r="OGO1" s="842"/>
      <c r="OGP1" s="842"/>
      <c r="OGQ1" s="842"/>
      <c r="OGR1" s="842"/>
      <c r="OGS1" s="842"/>
      <c r="OGT1" s="842"/>
      <c r="OGU1" s="842"/>
      <c r="OGV1" s="842"/>
      <c r="OGW1" s="842"/>
      <c r="OGX1" s="842"/>
      <c r="OGY1" s="842"/>
      <c r="OGZ1" s="842"/>
      <c r="OHA1" s="842"/>
      <c r="OHB1" s="842"/>
      <c r="OHC1" s="842"/>
      <c r="OHD1" s="842"/>
      <c r="OHE1" s="842"/>
      <c r="OHF1" s="842"/>
      <c r="OHG1" s="842"/>
      <c r="OHH1" s="842"/>
      <c r="OHI1" s="842"/>
      <c r="OHJ1" s="842"/>
      <c r="OHK1" s="842"/>
      <c r="OHL1" s="842"/>
      <c r="OHM1" s="842"/>
      <c r="OHN1" s="842"/>
      <c r="OHO1" s="842"/>
      <c r="OHP1" s="842"/>
      <c r="OHQ1" s="842"/>
      <c r="OHR1" s="842"/>
      <c r="OHS1" s="842"/>
      <c r="OHT1" s="842"/>
      <c r="OHU1" s="842"/>
      <c r="OHV1" s="842"/>
      <c r="OHW1" s="842"/>
      <c r="OHX1" s="842"/>
      <c r="OHY1" s="842"/>
      <c r="OHZ1" s="842"/>
      <c r="OIA1" s="842"/>
      <c r="OIB1" s="842"/>
      <c r="OIC1" s="842"/>
      <c r="OID1" s="842"/>
      <c r="OIE1" s="842"/>
      <c r="OIF1" s="842"/>
      <c r="OIG1" s="842"/>
      <c r="OIH1" s="842"/>
      <c r="OII1" s="842"/>
      <c r="OIJ1" s="842"/>
      <c r="OIK1" s="842"/>
      <c r="OIL1" s="842"/>
      <c r="OIM1" s="842"/>
      <c r="OIN1" s="842"/>
      <c r="OIO1" s="842"/>
      <c r="OIP1" s="842"/>
      <c r="OIQ1" s="842"/>
      <c r="OIR1" s="842"/>
      <c r="OIS1" s="842"/>
      <c r="OIT1" s="842"/>
      <c r="OIU1" s="842"/>
      <c r="OIV1" s="842"/>
      <c r="OIW1" s="842"/>
      <c r="OIX1" s="842"/>
      <c r="OIY1" s="842"/>
      <c r="OIZ1" s="842"/>
      <c r="OJA1" s="842"/>
      <c r="OJB1" s="842"/>
      <c r="OJC1" s="842"/>
      <c r="OJD1" s="842"/>
      <c r="OJE1" s="842"/>
      <c r="OJF1" s="842"/>
      <c r="OJG1" s="842"/>
      <c r="OJH1" s="842"/>
      <c r="OJI1" s="842"/>
      <c r="OJJ1" s="842"/>
      <c r="OJK1" s="842"/>
      <c r="OJL1" s="842"/>
      <c r="OJM1" s="842"/>
      <c r="OJN1" s="842"/>
      <c r="OJO1" s="842"/>
      <c r="OJP1" s="842"/>
      <c r="OJQ1" s="842"/>
      <c r="OJR1" s="842"/>
      <c r="OJS1" s="842"/>
      <c r="OJT1" s="842"/>
      <c r="OJU1" s="842"/>
      <c r="OJV1" s="842"/>
      <c r="OJW1" s="842"/>
      <c r="OJX1" s="842"/>
      <c r="OJY1" s="842"/>
      <c r="OJZ1" s="842"/>
      <c r="OKA1" s="842"/>
      <c r="OKB1" s="842"/>
      <c r="OKC1" s="842"/>
      <c r="OKD1" s="842"/>
      <c r="OKE1" s="842"/>
      <c r="OKF1" s="842"/>
      <c r="OKG1" s="842"/>
      <c r="OKH1" s="842"/>
      <c r="OKI1" s="842"/>
      <c r="OKJ1" s="842"/>
      <c r="OKK1" s="842"/>
      <c r="OKL1" s="842"/>
      <c r="OKM1" s="842"/>
      <c r="OKN1" s="842"/>
      <c r="OKO1" s="842"/>
      <c r="OKP1" s="842"/>
      <c r="OKQ1" s="842"/>
      <c r="OKR1" s="842"/>
      <c r="OKS1" s="842"/>
      <c r="OKT1" s="842"/>
      <c r="OKU1" s="842"/>
      <c r="OKV1" s="842"/>
      <c r="OKW1" s="842"/>
      <c r="OKX1" s="842"/>
      <c r="OKY1" s="842"/>
      <c r="OKZ1" s="842"/>
      <c r="OLA1" s="842"/>
      <c r="OLB1" s="842"/>
      <c r="OLC1" s="842"/>
      <c r="OLD1" s="842"/>
      <c r="OLE1" s="842"/>
      <c r="OLF1" s="842"/>
      <c r="OLG1" s="842"/>
      <c r="OLH1" s="842"/>
      <c r="OLI1" s="842"/>
      <c r="OLJ1" s="842"/>
      <c r="OLK1" s="842"/>
      <c r="OLL1" s="842"/>
      <c r="OLM1" s="842"/>
      <c r="OLN1" s="842"/>
      <c r="OLO1" s="842"/>
      <c r="OLP1" s="842"/>
      <c r="OLQ1" s="842"/>
      <c r="OLR1" s="842"/>
      <c r="OLS1" s="842"/>
      <c r="OLT1" s="842"/>
      <c r="OLU1" s="842"/>
      <c r="OLV1" s="842"/>
      <c r="OLW1" s="842"/>
      <c r="OLX1" s="842"/>
      <c r="OLY1" s="842"/>
      <c r="OLZ1" s="842"/>
      <c r="OMA1" s="842"/>
      <c r="OMB1" s="842"/>
      <c r="OMC1" s="842"/>
      <c r="OMD1" s="842"/>
      <c r="OME1" s="842"/>
      <c r="OMF1" s="842"/>
      <c r="OMG1" s="842"/>
      <c r="OMH1" s="842"/>
      <c r="OMI1" s="842"/>
      <c r="OMJ1" s="842"/>
      <c r="OMK1" s="842"/>
      <c r="OML1" s="842"/>
      <c r="OMM1" s="842"/>
      <c r="OMN1" s="842"/>
      <c r="OMO1" s="842"/>
      <c r="OMP1" s="842"/>
      <c r="OMQ1" s="842"/>
      <c r="OMR1" s="842"/>
      <c r="OMS1" s="842"/>
      <c r="OMT1" s="842"/>
      <c r="OMU1" s="842"/>
      <c r="OMV1" s="842"/>
      <c r="OMW1" s="842"/>
      <c r="OMX1" s="842"/>
      <c r="OMY1" s="842"/>
      <c r="OMZ1" s="842"/>
      <c r="ONA1" s="842"/>
      <c r="ONB1" s="842"/>
      <c r="ONC1" s="842"/>
      <c r="OND1" s="842"/>
      <c r="ONE1" s="842"/>
      <c r="ONF1" s="842"/>
      <c r="ONG1" s="842"/>
      <c r="ONH1" s="842"/>
      <c r="ONI1" s="842"/>
      <c r="ONJ1" s="842"/>
      <c r="ONK1" s="842"/>
      <c r="ONL1" s="842"/>
      <c r="ONM1" s="842"/>
      <c r="ONN1" s="842"/>
      <c r="ONO1" s="842"/>
      <c r="ONP1" s="842"/>
      <c r="ONQ1" s="842"/>
      <c r="ONR1" s="842"/>
      <c r="ONS1" s="842"/>
      <c r="ONT1" s="842"/>
      <c r="ONU1" s="842"/>
      <c r="ONV1" s="842"/>
      <c r="ONW1" s="842"/>
      <c r="ONX1" s="842"/>
      <c r="ONY1" s="842"/>
      <c r="ONZ1" s="842"/>
      <c r="OOA1" s="842"/>
      <c r="OOB1" s="842"/>
      <c r="OOC1" s="842"/>
      <c r="OOD1" s="842"/>
      <c r="OOE1" s="842"/>
      <c r="OOF1" s="842"/>
      <c r="OOG1" s="842"/>
      <c r="OOH1" s="842"/>
      <c r="OOI1" s="842"/>
      <c r="OOJ1" s="842"/>
      <c r="OOK1" s="842"/>
      <c r="OOL1" s="842"/>
      <c r="OOM1" s="842"/>
      <c r="OON1" s="842"/>
      <c r="OOO1" s="842"/>
      <c r="OOP1" s="842"/>
      <c r="OOQ1" s="842"/>
      <c r="OOR1" s="842"/>
      <c r="OOS1" s="842"/>
      <c r="OOT1" s="842"/>
      <c r="OOU1" s="842"/>
      <c r="OOV1" s="842"/>
      <c r="OOW1" s="842"/>
      <c r="OOX1" s="842"/>
      <c r="OOY1" s="842"/>
      <c r="OOZ1" s="842"/>
      <c r="OPA1" s="842"/>
      <c r="OPB1" s="842"/>
      <c r="OPC1" s="842"/>
      <c r="OPD1" s="842"/>
      <c r="OPE1" s="842"/>
      <c r="OPF1" s="842"/>
      <c r="OPG1" s="842"/>
      <c r="OPH1" s="842"/>
      <c r="OPI1" s="842"/>
      <c r="OPJ1" s="842"/>
      <c r="OPK1" s="842"/>
      <c r="OPL1" s="842"/>
      <c r="OPM1" s="842"/>
      <c r="OPN1" s="842"/>
      <c r="OPO1" s="842"/>
      <c r="OPP1" s="842"/>
      <c r="OPQ1" s="842"/>
      <c r="OPR1" s="842"/>
      <c r="OPS1" s="842"/>
      <c r="OPT1" s="842"/>
      <c r="OPU1" s="842"/>
      <c r="OPV1" s="842"/>
      <c r="OPW1" s="842"/>
      <c r="OPX1" s="842"/>
      <c r="OPY1" s="842"/>
      <c r="OPZ1" s="842"/>
      <c r="OQA1" s="842"/>
      <c r="OQB1" s="842"/>
      <c r="OQC1" s="842"/>
      <c r="OQD1" s="842"/>
      <c r="OQE1" s="842"/>
      <c r="OQF1" s="842"/>
      <c r="OQG1" s="842"/>
      <c r="OQH1" s="842"/>
      <c r="OQI1" s="842"/>
      <c r="OQJ1" s="842"/>
      <c r="OQK1" s="842"/>
      <c r="OQL1" s="842"/>
      <c r="OQM1" s="842"/>
      <c r="OQN1" s="842"/>
      <c r="OQO1" s="842"/>
      <c r="OQP1" s="842"/>
      <c r="OQQ1" s="842"/>
      <c r="OQR1" s="842"/>
      <c r="OQS1" s="842"/>
      <c r="OQT1" s="842"/>
      <c r="OQU1" s="842"/>
      <c r="OQV1" s="842"/>
      <c r="OQW1" s="842"/>
      <c r="OQX1" s="842"/>
      <c r="OQY1" s="842"/>
      <c r="OQZ1" s="842"/>
      <c r="ORA1" s="842"/>
      <c r="ORB1" s="842"/>
      <c r="ORC1" s="842"/>
      <c r="ORD1" s="842"/>
      <c r="ORE1" s="842"/>
      <c r="ORF1" s="842"/>
      <c r="ORG1" s="842"/>
      <c r="ORH1" s="842"/>
      <c r="ORI1" s="842"/>
      <c r="ORJ1" s="842"/>
      <c r="ORK1" s="842"/>
      <c r="ORL1" s="842"/>
      <c r="ORM1" s="842"/>
      <c r="ORN1" s="842"/>
      <c r="ORO1" s="842"/>
      <c r="ORP1" s="842"/>
      <c r="ORQ1" s="842"/>
      <c r="ORR1" s="842"/>
      <c r="ORS1" s="842"/>
      <c r="ORT1" s="842"/>
      <c r="ORU1" s="842"/>
      <c r="ORV1" s="842"/>
      <c r="ORW1" s="842"/>
      <c r="ORX1" s="842"/>
      <c r="ORY1" s="842"/>
      <c r="ORZ1" s="842"/>
      <c r="OSA1" s="842"/>
      <c r="OSB1" s="842"/>
      <c r="OSC1" s="842"/>
      <c r="OSD1" s="842"/>
      <c r="OSE1" s="842"/>
      <c r="OSF1" s="842"/>
      <c r="OSG1" s="842"/>
      <c r="OSH1" s="842"/>
      <c r="OSI1" s="842"/>
      <c r="OSJ1" s="842"/>
      <c r="OSK1" s="842"/>
      <c r="OSL1" s="842"/>
      <c r="OSM1" s="842"/>
      <c r="OSN1" s="842"/>
      <c r="OSO1" s="842"/>
      <c r="OSP1" s="842"/>
      <c r="OSQ1" s="842"/>
      <c r="OSR1" s="842"/>
      <c r="OSS1" s="842"/>
      <c r="OST1" s="842"/>
      <c r="OSU1" s="842"/>
      <c r="OSV1" s="842"/>
      <c r="OSW1" s="842"/>
      <c r="OSX1" s="842"/>
      <c r="OSY1" s="842"/>
      <c r="OSZ1" s="842"/>
      <c r="OTA1" s="842"/>
      <c r="OTB1" s="842"/>
      <c r="OTC1" s="842"/>
      <c r="OTD1" s="842"/>
      <c r="OTE1" s="842"/>
      <c r="OTF1" s="842"/>
      <c r="OTG1" s="842"/>
      <c r="OTH1" s="842"/>
      <c r="OTI1" s="842"/>
      <c r="OTJ1" s="842"/>
      <c r="OTK1" s="842"/>
      <c r="OTL1" s="842"/>
      <c r="OTM1" s="842"/>
      <c r="OTN1" s="842"/>
      <c r="OTO1" s="842"/>
      <c r="OTP1" s="842"/>
      <c r="OTQ1" s="842"/>
      <c r="OTR1" s="842"/>
      <c r="OTS1" s="842"/>
      <c r="OTT1" s="842"/>
      <c r="OTU1" s="842"/>
      <c r="OTV1" s="842"/>
      <c r="OTW1" s="842"/>
      <c r="OTX1" s="842"/>
      <c r="OTY1" s="842"/>
      <c r="OTZ1" s="842"/>
      <c r="OUA1" s="842"/>
      <c r="OUB1" s="842"/>
      <c r="OUC1" s="842"/>
      <c r="OUD1" s="842"/>
      <c r="OUE1" s="842"/>
      <c r="OUF1" s="842"/>
      <c r="OUG1" s="842"/>
      <c r="OUH1" s="842"/>
      <c r="OUI1" s="842"/>
      <c r="OUJ1" s="842"/>
      <c r="OUK1" s="842"/>
      <c r="OUL1" s="842"/>
      <c r="OUM1" s="842"/>
      <c r="OUN1" s="842"/>
      <c r="OUO1" s="842"/>
      <c r="OUP1" s="842"/>
      <c r="OUQ1" s="842"/>
      <c r="OUR1" s="842"/>
      <c r="OUS1" s="842"/>
      <c r="OUT1" s="842"/>
      <c r="OUU1" s="842"/>
      <c r="OUV1" s="842"/>
      <c r="OUW1" s="842"/>
      <c r="OUX1" s="842"/>
      <c r="OUY1" s="842"/>
      <c r="OUZ1" s="842"/>
      <c r="OVA1" s="842"/>
      <c r="OVB1" s="842"/>
      <c r="OVC1" s="842"/>
      <c r="OVD1" s="842"/>
      <c r="OVE1" s="842"/>
      <c r="OVF1" s="842"/>
      <c r="OVG1" s="842"/>
      <c r="OVH1" s="842"/>
      <c r="OVI1" s="842"/>
      <c r="OVJ1" s="842"/>
      <c r="OVK1" s="842"/>
      <c r="OVL1" s="842"/>
      <c r="OVM1" s="842"/>
      <c r="OVN1" s="842"/>
      <c r="OVO1" s="842"/>
      <c r="OVP1" s="842"/>
      <c r="OVQ1" s="842"/>
      <c r="OVR1" s="842"/>
      <c r="OVS1" s="842"/>
      <c r="OVT1" s="842"/>
      <c r="OVU1" s="842"/>
      <c r="OVV1" s="842"/>
      <c r="OVW1" s="842"/>
      <c r="OVX1" s="842"/>
      <c r="OVY1" s="842"/>
      <c r="OVZ1" s="842"/>
      <c r="OWA1" s="842"/>
      <c r="OWB1" s="842"/>
      <c r="OWC1" s="842"/>
      <c r="OWD1" s="842"/>
      <c r="OWE1" s="842"/>
      <c r="OWF1" s="842"/>
      <c r="OWG1" s="842"/>
      <c r="OWH1" s="842"/>
      <c r="OWI1" s="842"/>
      <c r="OWJ1" s="842"/>
      <c r="OWK1" s="842"/>
      <c r="OWL1" s="842"/>
      <c r="OWM1" s="842"/>
      <c r="OWN1" s="842"/>
      <c r="OWO1" s="842"/>
      <c r="OWP1" s="842"/>
      <c r="OWQ1" s="842"/>
      <c r="OWR1" s="842"/>
      <c r="OWS1" s="842"/>
      <c r="OWT1" s="842"/>
      <c r="OWU1" s="842"/>
      <c r="OWV1" s="842"/>
      <c r="OWW1" s="842"/>
      <c r="OWX1" s="842"/>
      <c r="OWY1" s="842"/>
      <c r="OWZ1" s="842"/>
      <c r="OXA1" s="842"/>
      <c r="OXB1" s="842"/>
      <c r="OXC1" s="842"/>
      <c r="OXD1" s="842"/>
      <c r="OXE1" s="842"/>
      <c r="OXF1" s="842"/>
      <c r="OXG1" s="842"/>
      <c r="OXH1" s="842"/>
      <c r="OXI1" s="842"/>
      <c r="OXJ1" s="842"/>
      <c r="OXK1" s="842"/>
      <c r="OXL1" s="842"/>
      <c r="OXM1" s="842"/>
      <c r="OXN1" s="842"/>
      <c r="OXO1" s="842"/>
      <c r="OXP1" s="842"/>
      <c r="OXQ1" s="842"/>
      <c r="OXR1" s="842"/>
      <c r="OXS1" s="842"/>
      <c r="OXT1" s="842"/>
      <c r="OXU1" s="842"/>
      <c r="OXV1" s="842"/>
      <c r="OXW1" s="842"/>
      <c r="OXX1" s="842"/>
      <c r="OXY1" s="842"/>
      <c r="OXZ1" s="842"/>
      <c r="OYA1" s="842"/>
      <c r="OYB1" s="842"/>
      <c r="OYC1" s="842"/>
      <c r="OYD1" s="842"/>
      <c r="OYE1" s="842"/>
      <c r="OYF1" s="842"/>
      <c r="OYG1" s="842"/>
      <c r="OYH1" s="842"/>
      <c r="OYI1" s="842"/>
      <c r="OYJ1" s="842"/>
      <c r="OYK1" s="842"/>
      <c r="OYL1" s="842"/>
      <c r="OYM1" s="842"/>
      <c r="OYN1" s="842"/>
      <c r="OYO1" s="842"/>
      <c r="OYP1" s="842"/>
      <c r="OYQ1" s="842"/>
      <c r="OYR1" s="842"/>
      <c r="OYS1" s="842"/>
      <c r="OYT1" s="842"/>
      <c r="OYU1" s="842"/>
      <c r="OYV1" s="842"/>
      <c r="OYW1" s="842"/>
      <c r="OYX1" s="842"/>
      <c r="OYY1" s="842"/>
      <c r="OYZ1" s="842"/>
      <c r="OZA1" s="842"/>
      <c r="OZB1" s="842"/>
      <c r="OZC1" s="842"/>
      <c r="OZD1" s="842"/>
      <c r="OZE1" s="842"/>
      <c r="OZF1" s="842"/>
      <c r="OZG1" s="842"/>
      <c r="OZH1" s="842"/>
      <c r="OZI1" s="842"/>
      <c r="OZJ1" s="842"/>
      <c r="OZK1" s="842"/>
      <c r="OZL1" s="842"/>
      <c r="OZM1" s="842"/>
      <c r="OZN1" s="842"/>
      <c r="OZO1" s="842"/>
      <c r="OZP1" s="842"/>
      <c r="OZQ1" s="842"/>
      <c r="OZR1" s="842"/>
      <c r="OZS1" s="842"/>
      <c r="OZT1" s="842"/>
      <c r="OZU1" s="842"/>
      <c r="OZV1" s="842"/>
      <c r="OZW1" s="842"/>
      <c r="OZX1" s="842"/>
      <c r="OZY1" s="842"/>
      <c r="OZZ1" s="842"/>
      <c r="PAA1" s="842"/>
      <c r="PAB1" s="842"/>
      <c r="PAC1" s="842"/>
      <c r="PAD1" s="842"/>
      <c r="PAE1" s="842"/>
      <c r="PAF1" s="842"/>
      <c r="PAG1" s="842"/>
      <c r="PAH1" s="842"/>
      <c r="PAI1" s="842"/>
      <c r="PAJ1" s="842"/>
      <c r="PAK1" s="842"/>
      <c r="PAL1" s="842"/>
      <c r="PAM1" s="842"/>
      <c r="PAN1" s="842"/>
      <c r="PAO1" s="842"/>
      <c r="PAP1" s="842"/>
      <c r="PAQ1" s="842"/>
      <c r="PAR1" s="842"/>
      <c r="PAS1" s="842"/>
      <c r="PAT1" s="842"/>
      <c r="PAU1" s="842"/>
      <c r="PAV1" s="842"/>
      <c r="PAW1" s="842"/>
      <c r="PAX1" s="842"/>
      <c r="PAY1" s="842"/>
      <c r="PAZ1" s="842"/>
      <c r="PBA1" s="842"/>
      <c r="PBB1" s="842"/>
      <c r="PBC1" s="842"/>
      <c r="PBD1" s="842"/>
      <c r="PBE1" s="842"/>
      <c r="PBF1" s="842"/>
      <c r="PBG1" s="842"/>
      <c r="PBH1" s="842"/>
      <c r="PBI1" s="842"/>
      <c r="PBJ1" s="842"/>
      <c r="PBK1" s="842"/>
      <c r="PBL1" s="842"/>
      <c r="PBM1" s="842"/>
      <c r="PBN1" s="842"/>
      <c r="PBO1" s="842"/>
      <c r="PBP1" s="842"/>
      <c r="PBQ1" s="842"/>
      <c r="PBR1" s="842"/>
      <c r="PBS1" s="842"/>
      <c r="PBT1" s="842"/>
      <c r="PBU1" s="842"/>
      <c r="PBV1" s="842"/>
      <c r="PBW1" s="842"/>
      <c r="PBX1" s="842"/>
      <c r="PBY1" s="842"/>
      <c r="PBZ1" s="842"/>
      <c r="PCA1" s="842"/>
      <c r="PCB1" s="842"/>
      <c r="PCC1" s="842"/>
      <c r="PCD1" s="842"/>
      <c r="PCE1" s="842"/>
      <c r="PCF1" s="842"/>
      <c r="PCG1" s="842"/>
      <c r="PCH1" s="842"/>
      <c r="PCI1" s="842"/>
      <c r="PCJ1" s="842"/>
      <c r="PCK1" s="842"/>
      <c r="PCL1" s="842"/>
      <c r="PCM1" s="842"/>
      <c r="PCN1" s="842"/>
      <c r="PCO1" s="842"/>
      <c r="PCP1" s="842"/>
      <c r="PCQ1" s="842"/>
      <c r="PCR1" s="842"/>
      <c r="PCS1" s="842"/>
      <c r="PCT1" s="842"/>
      <c r="PCU1" s="842"/>
      <c r="PCV1" s="842"/>
      <c r="PCW1" s="842"/>
      <c r="PCX1" s="842"/>
      <c r="PCY1" s="842"/>
      <c r="PCZ1" s="842"/>
      <c r="PDA1" s="842"/>
      <c r="PDB1" s="842"/>
      <c r="PDC1" s="842"/>
      <c r="PDD1" s="842"/>
      <c r="PDE1" s="842"/>
      <c r="PDF1" s="842"/>
      <c r="PDG1" s="842"/>
      <c r="PDH1" s="842"/>
      <c r="PDI1" s="842"/>
      <c r="PDJ1" s="842"/>
      <c r="PDK1" s="842"/>
      <c r="PDL1" s="842"/>
      <c r="PDM1" s="842"/>
      <c r="PDN1" s="842"/>
      <c r="PDO1" s="842"/>
      <c r="PDP1" s="842"/>
      <c r="PDQ1" s="842"/>
      <c r="PDR1" s="842"/>
      <c r="PDS1" s="842"/>
      <c r="PDT1" s="842"/>
      <c r="PDU1" s="842"/>
      <c r="PDV1" s="842"/>
      <c r="PDW1" s="842"/>
      <c r="PDX1" s="842"/>
      <c r="PDY1" s="842"/>
      <c r="PDZ1" s="842"/>
      <c r="PEA1" s="842"/>
      <c r="PEB1" s="842"/>
      <c r="PEC1" s="842"/>
      <c r="PED1" s="842"/>
      <c r="PEE1" s="842"/>
      <c r="PEF1" s="842"/>
      <c r="PEG1" s="842"/>
      <c r="PEH1" s="842"/>
      <c r="PEI1" s="842"/>
      <c r="PEJ1" s="842"/>
      <c r="PEK1" s="842"/>
      <c r="PEL1" s="842"/>
      <c r="PEM1" s="842"/>
      <c r="PEN1" s="842"/>
      <c r="PEO1" s="842"/>
      <c r="PEP1" s="842"/>
      <c r="PEQ1" s="842"/>
      <c r="PER1" s="842"/>
      <c r="PES1" s="842"/>
      <c r="PET1" s="842"/>
      <c r="PEU1" s="842"/>
      <c r="PEV1" s="842"/>
      <c r="PEW1" s="842"/>
      <c r="PEX1" s="842"/>
      <c r="PEY1" s="842"/>
      <c r="PEZ1" s="842"/>
      <c r="PFA1" s="842"/>
      <c r="PFB1" s="842"/>
      <c r="PFC1" s="842"/>
      <c r="PFD1" s="842"/>
      <c r="PFE1" s="842"/>
      <c r="PFF1" s="842"/>
      <c r="PFG1" s="842"/>
      <c r="PFH1" s="842"/>
      <c r="PFI1" s="842"/>
      <c r="PFJ1" s="842"/>
      <c r="PFK1" s="842"/>
      <c r="PFL1" s="842"/>
      <c r="PFM1" s="842"/>
      <c r="PFN1" s="842"/>
      <c r="PFO1" s="842"/>
      <c r="PFP1" s="842"/>
      <c r="PFQ1" s="842"/>
      <c r="PFR1" s="842"/>
      <c r="PFS1" s="842"/>
      <c r="PFT1" s="842"/>
      <c r="PFU1" s="842"/>
      <c r="PFV1" s="842"/>
      <c r="PFW1" s="842"/>
      <c r="PFX1" s="842"/>
      <c r="PFY1" s="842"/>
      <c r="PFZ1" s="842"/>
      <c r="PGA1" s="842"/>
      <c r="PGB1" s="842"/>
      <c r="PGC1" s="842"/>
      <c r="PGD1" s="842"/>
      <c r="PGE1" s="842"/>
      <c r="PGF1" s="842"/>
      <c r="PGG1" s="842"/>
      <c r="PGH1" s="842"/>
      <c r="PGI1" s="842"/>
      <c r="PGJ1" s="842"/>
      <c r="PGK1" s="842"/>
      <c r="PGL1" s="842"/>
      <c r="PGM1" s="842"/>
      <c r="PGN1" s="842"/>
      <c r="PGO1" s="842"/>
      <c r="PGP1" s="842"/>
      <c r="PGQ1" s="842"/>
      <c r="PGR1" s="842"/>
      <c r="PGS1" s="842"/>
      <c r="PGT1" s="842"/>
      <c r="PGU1" s="842"/>
      <c r="PGV1" s="842"/>
      <c r="PGW1" s="842"/>
      <c r="PGX1" s="842"/>
      <c r="PGY1" s="842"/>
      <c r="PGZ1" s="842"/>
      <c r="PHA1" s="842"/>
      <c r="PHB1" s="842"/>
      <c r="PHC1" s="842"/>
      <c r="PHD1" s="842"/>
      <c r="PHE1" s="842"/>
      <c r="PHF1" s="842"/>
      <c r="PHG1" s="842"/>
      <c r="PHH1" s="842"/>
      <c r="PHI1" s="842"/>
      <c r="PHJ1" s="842"/>
      <c r="PHK1" s="842"/>
      <c r="PHL1" s="842"/>
      <c r="PHM1" s="842"/>
      <c r="PHN1" s="842"/>
      <c r="PHO1" s="842"/>
      <c r="PHP1" s="842"/>
      <c r="PHQ1" s="842"/>
      <c r="PHR1" s="842"/>
      <c r="PHS1" s="842"/>
      <c r="PHT1" s="842"/>
      <c r="PHU1" s="842"/>
      <c r="PHV1" s="842"/>
      <c r="PHW1" s="842"/>
      <c r="PHX1" s="842"/>
      <c r="PHY1" s="842"/>
      <c r="PHZ1" s="842"/>
      <c r="PIA1" s="842"/>
      <c r="PIB1" s="842"/>
      <c r="PIC1" s="842"/>
      <c r="PID1" s="842"/>
      <c r="PIE1" s="842"/>
      <c r="PIF1" s="842"/>
      <c r="PIG1" s="842"/>
      <c r="PIH1" s="842"/>
      <c r="PII1" s="842"/>
      <c r="PIJ1" s="842"/>
      <c r="PIK1" s="842"/>
      <c r="PIL1" s="842"/>
      <c r="PIM1" s="842"/>
      <c r="PIN1" s="842"/>
      <c r="PIO1" s="842"/>
      <c r="PIP1" s="842"/>
      <c r="PIQ1" s="842"/>
      <c r="PIR1" s="842"/>
      <c r="PIS1" s="842"/>
      <c r="PIT1" s="842"/>
      <c r="PIU1" s="842"/>
      <c r="PIV1" s="842"/>
      <c r="PIW1" s="842"/>
      <c r="PIX1" s="842"/>
      <c r="PIY1" s="842"/>
      <c r="PIZ1" s="842"/>
      <c r="PJA1" s="842"/>
      <c r="PJB1" s="842"/>
      <c r="PJC1" s="842"/>
      <c r="PJD1" s="842"/>
      <c r="PJE1" s="842"/>
      <c r="PJF1" s="842"/>
      <c r="PJG1" s="842"/>
      <c r="PJH1" s="842"/>
      <c r="PJI1" s="842"/>
      <c r="PJJ1" s="842"/>
      <c r="PJK1" s="842"/>
      <c r="PJL1" s="842"/>
      <c r="PJM1" s="842"/>
      <c r="PJN1" s="842"/>
      <c r="PJO1" s="842"/>
      <c r="PJP1" s="842"/>
      <c r="PJQ1" s="842"/>
      <c r="PJR1" s="842"/>
      <c r="PJS1" s="842"/>
      <c r="PJT1" s="842"/>
      <c r="PJU1" s="842"/>
      <c r="PJV1" s="842"/>
      <c r="PJW1" s="842"/>
      <c r="PJX1" s="842"/>
      <c r="PJY1" s="842"/>
      <c r="PJZ1" s="842"/>
      <c r="PKA1" s="842"/>
      <c r="PKB1" s="842"/>
      <c r="PKC1" s="842"/>
      <c r="PKD1" s="842"/>
      <c r="PKE1" s="842"/>
      <c r="PKF1" s="842"/>
      <c r="PKG1" s="842"/>
      <c r="PKH1" s="842"/>
      <c r="PKI1" s="842"/>
      <c r="PKJ1" s="842"/>
      <c r="PKK1" s="842"/>
      <c r="PKL1" s="842"/>
      <c r="PKM1" s="842"/>
      <c r="PKN1" s="842"/>
      <c r="PKO1" s="842"/>
      <c r="PKP1" s="842"/>
      <c r="PKQ1" s="842"/>
      <c r="PKR1" s="842"/>
      <c r="PKS1" s="842"/>
      <c r="PKT1" s="842"/>
      <c r="PKU1" s="842"/>
      <c r="PKV1" s="842"/>
      <c r="PKW1" s="842"/>
      <c r="PKX1" s="842"/>
      <c r="PKY1" s="842"/>
      <c r="PKZ1" s="842"/>
      <c r="PLA1" s="842"/>
      <c r="PLB1" s="842"/>
      <c r="PLC1" s="842"/>
      <c r="PLD1" s="842"/>
      <c r="PLE1" s="842"/>
      <c r="PLF1" s="842"/>
      <c r="PLG1" s="842"/>
      <c r="PLH1" s="842"/>
      <c r="PLI1" s="842"/>
      <c r="PLJ1" s="842"/>
      <c r="PLK1" s="842"/>
      <c r="PLL1" s="842"/>
      <c r="PLM1" s="842"/>
      <c r="PLN1" s="842"/>
      <c r="PLO1" s="842"/>
      <c r="PLP1" s="842"/>
      <c r="PLQ1" s="842"/>
      <c r="PLR1" s="842"/>
      <c r="PLS1" s="842"/>
      <c r="PLT1" s="842"/>
      <c r="PLU1" s="842"/>
      <c r="PLV1" s="842"/>
      <c r="PLW1" s="842"/>
      <c r="PLX1" s="842"/>
      <c r="PLY1" s="842"/>
      <c r="PLZ1" s="842"/>
      <c r="PMA1" s="842"/>
      <c r="PMB1" s="842"/>
      <c r="PMC1" s="842"/>
      <c r="PMD1" s="842"/>
      <c r="PME1" s="842"/>
      <c r="PMF1" s="842"/>
      <c r="PMG1" s="842"/>
      <c r="PMH1" s="842"/>
      <c r="PMI1" s="842"/>
      <c r="PMJ1" s="842"/>
      <c r="PMK1" s="842"/>
      <c r="PML1" s="842"/>
      <c r="PMM1" s="842"/>
      <c r="PMN1" s="842"/>
      <c r="PMO1" s="842"/>
      <c r="PMP1" s="842"/>
      <c r="PMQ1" s="842"/>
      <c r="PMR1" s="842"/>
      <c r="PMS1" s="842"/>
      <c r="PMT1" s="842"/>
      <c r="PMU1" s="842"/>
      <c r="PMV1" s="842"/>
      <c r="PMW1" s="842"/>
      <c r="PMX1" s="842"/>
      <c r="PMY1" s="842"/>
      <c r="PMZ1" s="842"/>
      <c r="PNA1" s="842"/>
      <c r="PNB1" s="842"/>
      <c r="PNC1" s="842"/>
      <c r="PND1" s="842"/>
      <c r="PNE1" s="842"/>
      <c r="PNF1" s="842"/>
      <c r="PNG1" s="842"/>
      <c r="PNH1" s="842"/>
      <c r="PNI1" s="842"/>
      <c r="PNJ1" s="842"/>
      <c r="PNK1" s="842"/>
      <c r="PNL1" s="842"/>
      <c r="PNM1" s="842"/>
      <c r="PNN1" s="842"/>
      <c r="PNO1" s="842"/>
      <c r="PNP1" s="842"/>
      <c r="PNQ1" s="842"/>
      <c r="PNR1" s="842"/>
      <c r="PNS1" s="842"/>
      <c r="PNT1" s="842"/>
      <c r="PNU1" s="842"/>
      <c r="PNV1" s="842"/>
      <c r="PNW1" s="842"/>
      <c r="PNX1" s="842"/>
      <c r="PNY1" s="842"/>
      <c r="PNZ1" s="842"/>
      <c r="POA1" s="842"/>
      <c r="POB1" s="842"/>
      <c r="POC1" s="842"/>
      <c r="POD1" s="842"/>
      <c r="POE1" s="842"/>
      <c r="POF1" s="842"/>
      <c r="POG1" s="842"/>
      <c r="POH1" s="842"/>
      <c r="POI1" s="842"/>
      <c r="POJ1" s="842"/>
      <c r="POK1" s="842"/>
      <c r="POL1" s="842"/>
      <c r="POM1" s="842"/>
      <c r="PON1" s="842"/>
      <c r="POO1" s="842"/>
      <c r="POP1" s="842"/>
      <c r="POQ1" s="842"/>
      <c r="POR1" s="842"/>
      <c r="POS1" s="842"/>
      <c r="POT1" s="842"/>
      <c r="POU1" s="842"/>
      <c r="POV1" s="842"/>
      <c r="POW1" s="842"/>
      <c r="POX1" s="842"/>
      <c r="POY1" s="842"/>
      <c r="POZ1" s="842"/>
      <c r="PPA1" s="842"/>
      <c r="PPB1" s="842"/>
      <c r="PPC1" s="842"/>
      <c r="PPD1" s="842"/>
      <c r="PPE1" s="842"/>
      <c r="PPF1" s="842"/>
      <c r="PPG1" s="842"/>
      <c r="PPH1" s="842"/>
      <c r="PPI1" s="842"/>
      <c r="PPJ1" s="842"/>
      <c r="PPK1" s="842"/>
      <c r="PPL1" s="842"/>
      <c r="PPM1" s="842"/>
      <c r="PPN1" s="842"/>
      <c r="PPO1" s="842"/>
      <c r="PPP1" s="842"/>
      <c r="PPQ1" s="842"/>
      <c r="PPR1" s="842"/>
      <c r="PPS1" s="842"/>
      <c r="PPT1" s="842"/>
      <c r="PPU1" s="842"/>
      <c r="PPV1" s="842"/>
      <c r="PPW1" s="842"/>
      <c r="PPX1" s="842"/>
      <c r="PPY1" s="842"/>
      <c r="PPZ1" s="842"/>
      <c r="PQA1" s="842"/>
      <c r="PQB1" s="842"/>
      <c r="PQC1" s="842"/>
      <c r="PQD1" s="842"/>
      <c r="PQE1" s="842"/>
      <c r="PQF1" s="842"/>
      <c r="PQG1" s="842"/>
      <c r="PQH1" s="842"/>
      <c r="PQI1" s="842"/>
      <c r="PQJ1" s="842"/>
      <c r="PQK1" s="842"/>
      <c r="PQL1" s="842"/>
      <c r="PQM1" s="842"/>
      <c r="PQN1" s="842"/>
      <c r="PQO1" s="842"/>
      <c r="PQP1" s="842"/>
      <c r="PQQ1" s="842"/>
      <c r="PQR1" s="842"/>
      <c r="PQS1" s="842"/>
      <c r="PQT1" s="842"/>
      <c r="PQU1" s="842"/>
      <c r="PQV1" s="842"/>
      <c r="PQW1" s="842"/>
      <c r="PQX1" s="842"/>
      <c r="PQY1" s="842"/>
      <c r="PQZ1" s="842"/>
      <c r="PRA1" s="842"/>
      <c r="PRB1" s="842"/>
      <c r="PRC1" s="842"/>
      <c r="PRD1" s="842"/>
      <c r="PRE1" s="842"/>
      <c r="PRF1" s="842"/>
      <c r="PRG1" s="842"/>
      <c r="PRH1" s="842"/>
      <c r="PRI1" s="842"/>
      <c r="PRJ1" s="842"/>
      <c r="PRK1" s="842"/>
      <c r="PRL1" s="842"/>
      <c r="PRM1" s="842"/>
      <c r="PRN1" s="842"/>
      <c r="PRO1" s="842"/>
      <c r="PRP1" s="842"/>
      <c r="PRQ1" s="842"/>
      <c r="PRR1" s="842"/>
      <c r="PRS1" s="842"/>
      <c r="PRT1" s="842"/>
      <c r="PRU1" s="842"/>
      <c r="PRV1" s="842"/>
      <c r="PRW1" s="842"/>
      <c r="PRX1" s="842"/>
      <c r="PRY1" s="842"/>
      <c r="PRZ1" s="842"/>
      <c r="PSA1" s="842"/>
      <c r="PSB1" s="842"/>
      <c r="PSC1" s="842"/>
      <c r="PSD1" s="842"/>
      <c r="PSE1" s="842"/>
      <c r="PSF1" s="842"/>
      <c r="PSG1" s="842"/>
      <c r="PSH1" s="842"/>
      <c r="PSI1" s="842"/>
      <c r="PSJ1" s="842"/>
      <c r="PSK1" s="842"/>
      <c r="PSL1" s="842"/>
      <c r="PSM1" s="842"/>
      <c r="PSN1" s="842"/>
      <c r="PSO1" s="842"/>
      <c r="PSP1" s="842"/>
      <c r="PSQ1" s="842"/>
      <c r="PSR1" s="842"/>
      <c r="PSS1" s="842"/>
      <c r="PST1" s="842"/>
      <c r="PSU1" s="842"/>
      <c r="PSV1" s="842"/>
      <c r="PSW1" s="842"/>
      <c r="PSX1" s="842"/>
      <c r="PSY1" s="842"/>
      <c r="PSZ1" s="842"/>
      <c r="PTA1" s="842"/>
      <c r="PTB1" s="842"/>
      <c r="PTC1" s="842"/>
      <c r="PTD1" s="842"/>
      <c r="PTE1" s="842"/>
      <c r="PTF1" s="842"/>
      <c r="PTG1" s="842"/>
      <c r="PTH1" s="842"/>
      <c r="PTI1" s="842"/>
      <c r="PTJ1" s="842"/>
      <c r="PTK1" s="842"/>
      <c r="PTL1" s="842"/>
      <c r="PTM1" s="842"/>
      <c r="PTN1" s="842"/>
      <c r="PTO1" s="842"/>
      <c r="PTP1" s="842"/>
      <c r="PTQ1" s="842"/>
      <c r="PTR1" s="842"/>
      <c r="PTS1" s="842"/>
      <c r="PTT1" s="842"/>
      <c r="PTU1" s="842"/>
      <c r="PTV1" s="842"/>
      <c r="PTW1" s="842"/>
      <c r="PTX1" s="842"/>
      <c r="PTY1" s="842"/>
      <c r="PTZ1" s="842"/>
      <c r="PUA1" s="842"/>
      <c r="PUB1" s="842"/>
      <c r="PUC1" s="842"/>
      <c r="PUD1" s="842"/>
      <c r="PUE1" s="842"/>
      <c r="PUF1" s="842"/>
      <c r="PUG1" s="842"/>
      <c r="PUH1" s="842"/>
      <c r="PUI1" s="842"/>
      <c r="PUJ1" s="842"/>
      <c r="PUK1" s="842"/>
      <c r="PUL1" s="842"/>
      <c r="PUM1" s="842"/>
      <c r="PUN1" s="842"/>
      <c r="PUO1" s="842"/>
      <c r="PUP1" s="842"/>
      <c r="PUQ1" s="842"/>
      <c r="PUR1" s="842"/>
      <c r="PUS1" s="842"/>
      <c r="PUT1" s="842"/>
      <c r="PUU1" s="842"/>
      <c r="PUV1" s="842"/>
      <c r="PUW1" s="842"/>
      <c r="PUX1" s="842"/>
      <c r="PUY1" s="842"/>
      <c r="PUZ1" s="842"/>
      <c r="PVA1" s="842"/>
      <c r="PVB1" s="842"/>
      <c r="PVC1" s="842"/>
      <c r="PVD1" s="842"/>
      <c r="PVE1" s="842"/>
      <c r="PVF1" s="842"/>
      <c r="PVG1" s="842"/>
      <c r="PVH1" s="842"/>
      <c r="PVI1" s="842"/>
      <c r="PVJ1" s="842"/>
      <c r="PVK1" s="842"/>
      <c r="PVL1" s="842"/>
      <c r="PVM1" s="842"/>
      <c r="PVN1" s="842"/>
      <c r="PVO1" s="842"/>
      <c r="PVP1" s="842"/>
      <c r="PVQ1" s="842"/>
      <c r="PVR1" s="842"/>
      <c r="PVS1" s="842"/>
      <c r="PVT1" s="842"/>
      <c r="PVU1" s="842"/>
      <c r="PVV1" s="842"/>
      <c r="PVW1" s="842"/>
      <c r="PVX1" s="842"/>
      <c r="PVY1" s="842"/>
      <c r="PVZ1" s="842"/>
      <c r="PWA1" s="842"/>
      <c r="PWB1" s="842"/>
      <c r="PWC1" s="842"/>
      <c r="PWD1" s="842"/>
      <c r="PWE1" s="842"/>
      <c r="PWF1" s="842"/>
      <c r="PWG1" s="842"/>
      <c r="PWH1" s="842"/>
      <c r="PWI1" s="842"/>
      <c r="PWJ1" s="842"/>
      <c r="PWK1" s="842"/>
      <c r="PWL1" s="842"/>
      <c r="PWM1" s="842"/>
      <c r="PWN1" s="842"/>
      <c r="PWO1" s="842"/>
      <c r="PWP1" s="842"/>
      <c r="PWQ1" s="842"/>
      <c r="PWR1" s="842"/>
      <c r="PWS1" s="842"/>
      <c r="PWT1" s="842"/>
      <c r="PWU1" s="842"/>
      <c r="PWV1" s="842"/>
      <c r="PWW1" s="842"/>
      <c r="PWX1" s="842"/>
      <c r="PWY1" s="842"/>
      <c r="PWZ1" s="842"/>
      <c r="PXA1" s="842"/>
      <c r="PXB1" s="842"/>
      <c r="PXC1" s="842"/>
      <c r="PXD1" s="842"/>
      <c r="PXE1" s="842"/>
      <c r="PXF1" s="842"/>
      <c r="PXG1" s="842"/>
      <c r="PXH1" s="842"/>
      <c r="PXI1" s="842"/>
      <c r="PXJ1" s="842"/>
      <c r="PXK1" s="842"/>
      <c r="PXL1" s="842"/>
      <c r="PXM1" s="842"/>
      <c r="PXN1" s="842"/>
      <c r="PXO1" s="842"/>
      <c r="PXP1" s="842"/>
      <c r="PXQ1" s="842"/>
      <c r="PXR1" s="842"/>
      <c r="PXS1" s="842"/>
      <c r="PXT1" s="842"/>
      <c r="PXU1" s="842"/>
      <c r="PXV1" s="842"/>
      <c r="PXW1" s="842"/>
      <c r="PXX1" s="842"/>
      <c r="PXY1" s="842"/>
      <c r="PXZ1" s="842"/>
      <c r="PYA1" s="842"/>
      <c r="PYB1" s="842"/>
      <c r="PYC1" s="842"/>
      <c r="PYD1" s="842"/>
      <c r="PYE1" s="842"/>
      <c r="PYF1" s="842"/>
      <c r="PYG1" s="842"/>
      <c r="PYH1" s="842"/>
      <c r="PYI1" s="842"/>
      <c r="PYJ1" s="842"/>
      <c r="PYK1" s="842"/>
      <c r="PYL1" s="842"/>
      <c r="PYM1" s="842"/>
      <c r="PYN1" s="842"/>
      <c r="PYO1" s="842"/>
      <c r="PYP1" s="842"/>
      <c r="PYQ1" s="842"/>
      <c r="PYR1" s="842"/>
      <c r="PYS1" s="842"/>
      <c r="PYT1" s="842"/>
      <c r="PYU1" s="842"/>
      <c r="PYV1" s="842"/>
      <c r="PYW1" s="842"/>
      <c r="PYX1" s="842"/>
      <c r="PYY1" s="842"/>
      <c r="PYZ1" s="842"/>
      <c r="PZA1" s="842"/>
      <c r="PZB1" s="842"/>
      <c r="PZC1" s="842"/>
      <c r="PZD1" s="842"/>
      <c r="PZE1" s="842"/>
      <c r="PZF1" s="842"/>
      <c r="PZG1" s="842"/>
      <c r="PZH1" s="842"/>
      <c r="PZI1" s="842"/>
      <c r="PZJ1" s="842"/>
      <c r="PZK1" s="842"/>
      <c r="PZL1" s="842"/>
      <c r="PZM1" s="842"/>
      <c r="PZN1" s="842"/>
      <c r="PZO1" s="842"/>
      <c r="PZP1" s="842"/>
      <c r="PZQ1" s="842"/>
      <c r="PZR1" s="842"/>
      <c r="PZS1" s="842"/>
      <c r="PZT1" s="842"/>
      <c r="PZU1" s="842"/>
      <c r="PZV1" s="842"/>
      <c r="PZW1" s="842"/>
      <c r="PZX1" s="842"/>
      <c r="PZY1" s="842"/>
      <c r="PZZ1" s="842"/>
      <c r="QAA1" s="842"/>
      <c r="QAB1" s="842"/>
      <c r="QAC1" s="842"/>
      <c r="QAD1" s="842"/>
      <c r="QAE1" s="842"/>
      <c r="QAF1" s="842"/>
      <c r="QAG1" s="842"/>
      <c r="QAH1" s="842"/>
      <c r="QAI1" s="842"/>
      <c r="QAJ1" s="842"/>
      <c r="QAK1" s="842"/>
      <c r="QAL1" s="842"/>
      <c r="QAM1" s="842"/>
      <c r="QAN1" s="842"/>
      <c r="QAO1" s="842"/>
      <c r="QAP1" s="842"/>
      <c r="QAQ1" s="842"/>
      <c r="QAR1" s="842"/>
      <c r="QAS1" s="842"/>
      <c r="QAT1" s="842"/>
      <c r="QAU1" s="842"/>
      <c r="QAV1" s="842"/>
      <c r="QAW1" s="842"/>
      <c r="QAX1" s="842"/>
      <c r="QAY1" s="842"/>
      <c r="QAZ1" s="842"/>
      <c r="QBA1" s="842"/>
      <c r="QBB1" s="842"/>
      <c r="QBC1" s="842"/>
      <c r="QBD1" s="842"/>
      <c r="QBE1" s="842"/>
      <c r="QBF1" s="842"/>
      <c r="QBG1" s="842"/>
      <c r="QBH1" s="842"/>
      <c r="QBI1" s="842"/>
      <c r="QBJ1" s="842"/>
      <c r="QBK1" s="842"/>
      <c r="QBL1" s="842"/>
      <c r="QBM1" s="842"/>
      <c r="QBN1" s="842"/>
      <c r="QBO1" s="842"/>
      <c r="QBP1" s="842"/>
      <c r="QBQ1" s="842"/>
      <c r="QBR1" s="842"/>
      <c r="QBS1" s="842"/>
      <c r="QBT1" s="842"/>
      <c r="QBU1" s="842"/>
      <c r="QBV1" s="842"/>
      <c r="QBW1" s="842"/>
      <c r="QBX1" s="842"/>
      <c r="QBY1" s="842"/>
      <c r="QBZ1" s="842"/>
      <c r="QCA1" s="842"/>
      <c r="QCB1" s="842"/>
      <c r="QCC1" s="842"/>
      <c r="QCD1" s="842"/>
      <c r="QCE1" s="842"/>
      <c r="QCF1" s="842"/>
      <c r="QCG1" s="842"/>
      <c r="QCH1" s="842"/>
      <c r="QCI1" s="842"/>
      <c r="QCJ1" s="842"/>
      <c r="QCK1" s="842"/>
      <c r="QCL1" s="842"/>
      <c r="QCM1" s="842"/>
      <c r="QCN1" s="842"/>
      <c r="QCO1" s="842"/>
      <c r="QCP1" s="842"/>
      <c r="QCQ1" s="842"/>
      <c r="QCR1" s="842"/>
      <c r="QCS1" s="842"/>
      <c r="QCT1" s="842"/>
      <c r="QCU1" s="842"/>
      <c r="QCV1" s="842"/>
      <c r="QCW1" s="842"/>
      <c r="QCX1" s="842"/>
      <c r="QCY1" s="842"/>
      <c r="QCZ1" s="842"/>
      <c r="QDA1" s="842"/>
      <c r="QDB1" s="842"/>
      <c r="QDC1" s="842"/>
      <c r="QDD1" s="842"/>
      <c r="QDE1" s="842"/>
      <c r="QDF1" s="842"/>
      <c r="QDG1" s="842"/>
      <c r="QDH1" s="842"/>
      <c r="QDI1" s="842"/>
      <c r="QDJ1" s="842"/>
      <c r="QDK1" s="842"/>
      <c r="QDL1" s="842"/>
      <c r="QDM1" s="842"/>
      <c r="QDN1" s="842"/>
      <c r="QDO1" s="842"/>
      <c r="QDP1" s="842"/>
      <c r="QDQ1" s="842"/>
      <c r="QDR1" s="842"/>
      <c r="QDS1" s="842"/>
      <c r="QDT1" s="842"/>
      <c r="QDU1" s="842"/>
      <c r="QDV1" s="842"/>
      <c r="QDW1" s="842"/>
      <c r="QDX1" s="842"/>
      <c r="QDY1" s="842"/>
      <c r="QDZ1" s="842"/>
      <c r="QEA1" s="842"/>
      <c r="QEB1" s="842"/>
      <c r="QEC1" s="842"/>
      <c r="QED1" s="842"/>
      <c r="QEE1" s="842"/>
      <c r="QEF1" s="842"/>
      <c r="QEG1" s="842"/>
      <c r="QEH1" s="842"/>
      <c r="QEI1" s="842"/>
      <c r="QEJ1" s="842"/>
      <c r="QEK1" s="842"/>
      <c r="QEL1" s="842"/>
      <c r="QEM1" s="842"/>
      <c r="QEN1" s="842"/>
      <c r="QEO1" s="842"/>
      <c r="QEP1" s="842"/>
      <c r="QEQ1" s="842"/>
      <c r="QER1" s="842"/>
      <c r="QES1" s="842"/>
      <c r="QET1" s="842"/>
      <c r="QEU1" s="842"/>
      <c r="QEV1" s="842"/>
      <c r="QEW1" s="842"/>
      <c r="QEX1" s="842"/>
      <c r="QEY1" s="842"/>
      <c r="QEZ1" s="842"/>
      <c r="QFA1" s="842"/>
      <c r="QFB1" s="842"/>
      <c r="QFC1" s="842"/>
      <c r="QFD1" s="842"/>
      <c r="QFE1" s="842"/>
      <c r="QFF1" s="842"/>
      <c r="QFG1" s="842"/>
      <c r="QFH1" s="842"/>
      <c r="QFI1" s="842"/>
      <c r="QFJ1" s="842"/>
      <c r="QFK1" s="842"/>
      <c r="QFL1" s="842"/>
      <c r="QFM1" s="842"/>
      <c r="QFN1" s="842"/>
      <c r="QFO1" s="842"/>
      <c r="QFP1" s="842"/>
      <c r="QFQ1" s="842"/>
      <c r="QFR1" s="842"/>
      <c r="QFS1" s="842"/>
      <c r="QFT1" s="842"/>
      <c r="QFU1" s="842"/>
      <c r="QFV1" s="842"/>
      <c r="QFW1" s="842"/>
      <c r="QFX1" s="842"/>
      <c r="QFY1" s="842"/>
      <c r="QFZ1" s="842"/>
      <c r="QGA1" s="842"/>
      <c r="QGB1" s="842"/>
      <c r="QGC1" s="842"/>
      <c r="QGD1" s="842"/>
      <c r="QGE1" s="842"/>
      <c r="QGF1" s="842"/>
      <c r="QGG1" s="842"/>
      <c r="QGH1" s="842"/>
      <c r="QGI1" s="842"/>
      <c r="QGJ1" s="842"/>
      <c r="QGK1" s="842"/>
      <c r="QGL1" s="842"/>
      <c r="QGM1" s="842"/>
      <c r="QGN1" s="842"/>
      <c r="QGO1" s="842"/>
      <c r="QGP1" s="842"/>
      <c r="QGQ1" s="842"/>
      <c r="QGR1" s="842"/>
      <c r="QGS1" s="842"/>
      <c r="QGT1" s="842"/>
      <c r="QGU1" s="842"/>
      <c r="QGV1" s="842"/>
      <c r="QGW1" s="842"/>
      <c r="QGX1" s="842"/>
      <c r="QGY1" s="842"/>
      <c r="QGZ1" s="842"/>
      <c r="QHA1" s="842"/>
      <c r="QHB1" s="842"/>
      <c r="QHC1" s="842"/>
      <c r="QHD1" s="842"/>
      <c r="QHE1" s="842"/>
      <c r="QHF1" s="842"/>
      <c r="QHG1" s="842"/>
      <c r="QHH1" s="842"/>
      <c r="QHI1" s="842"/>
      <c r="QHJ1" s="842"/>
      <c r="QHK1" s="842"/>
      <c r="QHL1" s="842"/>
      <c r="QHM1" s="842"/>
      <c r="QHN1" s="842"/>
      <c r="QHO1" s="842"/>
      <c r="QHP1" s="842"/>
      <c r="QHQ1" s="842"/>
      <c r="QHR1" s="842"/>
      <c r="QHS1" s="842"/>
      <c r="QHT1" s="842"/>
      <c r="QHU1" s="842"/>
      <c r="QHV1" s="842"/>
      <c r="QHW1" s="842"/>
      <c r="QHX1" s="842"/>
      <c r="QHY1" s="842"/>
      <c r="QHZ1" s="842"/>
      <c r="QIA1" s="842"/>
      <c r="QIB1" s="842"/>
      <c r="QIC1" s="842"/>
      <c r="QID1" s="842"/>
      <c r="QIE1" s="842"/>
      <c r="QIF1" s="842"/>
      <c r="QIG1" s="842"/>
      <c r="QIH1" s="842"/>
      <c r="QII1" s="842"/>
      <c r="QIJ1" s="842"/>
      <c r="QIK1" s="842"/>
      <c r="QIL1" s="842"/>
      <c r="QIM1" s="842"/>
      <c r="QIN1" s="842"/>
      <c r="QIO1" s="842"/>
      <c r="QIP1" s="842"/>
      <c r="QIQ1" s="842"/>
      <c r="QIR1" s="842"/>
      <c r="QIS1" s="842"/>
      <c r="QIT1" s="842"/>
      <c r="QIU1" s="842"/>
      <c r="QIV1" s="842"/>
      <c r="QIW1" s="842"/>
      <c r="QIX1" s="842"/>
      <c r="QIY1" s="842"/>
      <c r="QIZ1" s="842"/>
      <c r="QJA1" s="842"/>
      <c r="QJB1" s="842"/>
      <c r="QJC1" s="842"/>
      <c r="QJD1" s="842"/>
      <c r="QJE1" s="842"/>
      <c r="QJF1" s="842"/>
      <c r="QJG1" s="842"/>
      <c r="QJH1" s="842"/>
      <c r="QJI1" s="842"/>
      <c r="QJJ1" s="842"/>
      <c r="QJK1" s="842"/>
      <c r="QJL1" s="842"/>
      <c r="QJM1" s="842"/>
      <c r="QJN1" s="842"/>
      <c r="QJO1" s="842"/>
      <c r="QJP1" s="842"/>
      <c r="QJQ1" s="842"/>
      <c r="QJR1" s="842"/>
      <c r="QJS1" s="842"/>
      <c r="QJT1" s="842"/>
      <c r="QJU1" s="842"/>
      <c r="QJV1" s="842"/>
      <c r="QJW1" s="842"/>
      <c r="QJX1" s="842"/>
      <c r="QJY1" s="842"/>
      <c r="QJZ1" s="842"/>
      <c r="QKA1" s="842"/>
      <c r="QKB1" s="842"/>
      <c r="QKC1" s="842"/>
      <c r="QKD1" s="842"/>
      <c r="QKE1" s="842"/>
      <c r="QKF1" s="842"/>
      <c r="QKG1" s="842"/>
      <c r="QKH1" s="842"/>
      <c r="QKI1" s="842"/>
      <c r="QKJ1" s="842"/>
      <c r="QKK1" s="842"/>
      <c r="QKL1" s="842"/>
      <c r="QKM1" s="842"/>
      <c r="QKN1" s="842"/>
      <c r="QKO1" s="842"/>
      <c r="QKP1" s="842"/>
      <c r="QKQ1" s="842"/>
      <c r="QKR1" s="842"/>
      <c r="QKS1" s="842"/>
      <c r="QKT1" s="842"/>
      <c r="QKU1" s="842"/>
      <c r="QKV1" s="842"/>
      <c r="QKW1" s="842"/>
      <c r="QKX1" s="842"/>
      <c r="QKY1" s="842"/>
      <c r="QKZ1" s="842"/>
      <c r="QLA1" s="842"/>
      <c r="QLB1" s="842"/>
      <c r="QLC1" s="842"/>
      <c r="QLD1" s="842"/>
      <c r="QLE1" s="842"/>
      <c r="QLF1" s="842"/>
      <c r="QLG1" s="842"/>
      <c r="QLH1" s="842"/>
      <c r="QLI1" s="842"/>
      <c r="QLJ1" s="842"/>
      <c r="QLK1" s="842"/>
      <c r="QLL1" s="842"/>
      <c r="QLM1" s="842"/>
      <c r="QLN1" s="842"/>
      <c r="QLO1" s="842"/>
      <c r="QLP1" s="842"/>
      <c r="QLQ1" s="842"/>
      <c r="QLR1" s="842"/>
      <c r="QLS1" s="842"/>
      <c r="QLT1" s="842"/>
      <c r="QLU1" s="842"/>
      <c r="QLV1" s="842"/>
      <c r="QLW1" s="842"/>
      <c r="QLX1" s="842"/>
      <c r="QLY1" s="842"/>
      <c r="QLZ1" s="842"/>
      <c r="QMA1" s="842"/>
      <c r="QMB1" s="842"/>
      <c r="QMC1" s="842"/>
      <c r="QMD1" s="842"/>
      <c r="QME1" s="842"/>
      <c r="QMF1" s="842"/>
      <c r="QMG1" s="842"/>
      <c r="QMH1" s="842"/>
      <c r="QMI1" s="842"/>
      <c r="QMJ1" s="842"/>
      <c r="QMK1" s="842"/>
      <c r="QML1" s="842"/>
      <c r="QMM1" s="842"/>
      <c r="QMN1" s="842"/>
      <c r="QMO1" s="842"/>
      <c r="QMP1" s="842"/>
      <c r="QMQ1" s="842"/>
      <c r="QMR1" s="842"/>
      <c r="QMS1" s="842"/>
      <c r="QMT1" s="842"/>
      <c r="QMU1" s="842"/>
      <c r="QMV1" s="842"/>
      <c r="QMW1" s="842"/>
      <c r="QMX1" s="842"/>
      <c r="QMY1" s="842"/>
      <c r="QMZ1" s="842"/>
      <c r="QNA1" s="842"/>
      <c r="QNB1" s="842"/>
      <c r="QNC1" s="842"/>
      <c r="QND1" s="842"/>
      <c r="QNE1" s="842"/>
      <c r="QNF1" s="842"/>
      <c r="QNG1" s="842"/>
      <c r="QNH1" s="842"/>
      <c r="QNI1" s="842"/>
      <c r="QNJ1" s="842"/>
      <c r="QNK1" s="842"/>
      <c r="QNL1" s="842"/>
      <c r="QNM1" s="842"/>
      <c r="QNN1" s="842"/>
      <c r="QNO1" s="842"/>
      <c r="QNP1" s="842"/>
      <c r="QNQ1" s="842"/>
      <c r="QNR1" s="842"/>
      <c r="QNS1" s="842"/>
      <c r="QNT1" s="842"/>
      <c r="QNU1" s="842"/>
      <c r="QNV1" s="842"/>
      <c r="QNW1" s="842"/>
      <c r="QNX1" s="842"/>
      <c r="QNY1" s="842"/>
      <c r="QNZ1" s="842"/>
      <c r="QOA1" s="842"/>
      <c r="QOB1" s="842"/>
      <c r="QOC1" s="842"/>
      <c r="QOD1" s="842"/>
      <c r="QOE1" s="842"/>
      <c r="QOF1" s="842"/>
      <c r="QOG1" s="842"/>
      <c r="QOH1" s="842"/>
      <c r="QOI1" s="842"/>
      <c r="QOJ1" s="842"/>
      <c r="QOK1" s="842"/>
      <c r="QOL1" s="842"/>
      <c r="QOM1" s="842"/>
      <c r="QON1" s="842"/>
      <c r="QOO1" s="842"/>
      <c r="QOP1" s="842"/>
      <c r="QOQ1" s="842"/>
      <c r="QOR1" s="842"/>
      <c r="QOS1" s="842"/>
      <c r="QOT1" s="842"/>
      <c r="QOU1" s="842"/>
      <c r="QOV1" s="842"/>
      <c r="QOW1" s="842"/>
      <c r="QOX1" s="842"/>
      <c r="QOY1" s="842"/>
      <c r="QOZ1" s="842"/>
      <c r="QPA1" s="842"/>
      <c r="QPB1" s="842"/>
      <c r="QPC1" s="842"/>
      <c r="QPD1" s="842"/>
      <c r="QPE1" s="842"/>
      <c r="QPF1" s="842"/>
      <c r="QPG1" s="842"/>
      <c r="QPH1" s="842"/>
      <c r="QPI1" s="842"/>
      <c r="QPJ1" s="842"/>
      <c r="QPK1" s="842"/>
      <c r="QPL1" s="842"/>
      <c r="QPM1" s="842"/>
      <c r="QPN1" s="842"/>
      <c r="QPO1" s="842"/>
      <c r="QPP1" s="842"/>
      <c r="QPQ1" s="842"/>
      <c r="QPR1" s="842"/>
      <c r="QPS1" s="842"/>
      <c r="QPT1" s="842"/>
      <c r="QPU1" s="842"/>
      <c r="QPV1" s="842"/>
      <c r="QPW1" s="842"/>
      <c r="QPX1" s="842"/>
      <c r="QPY1" s="842"/>
      <c r="QPZ1" s="842"/>
      <c r="QQA1" s="842"/>
      <c r="QQB1" s="842"/>
      <c r="QQC1" s="842"/>
      <c r="QQD1" s="842"/>
      <c r="QQE1" s="842"/>
      <c r="QQF1" s="842"/>
      <c r="QQG1" s="842"/>
      <c r="QQH1" s="842"/>
      <c r="QQI1" s="842"/>
      <c r="QQJ1" s="842"/>
      <c r="QQK1" s="842"/>
      <c r="QQL1" s="842"/>
      <c r="QQM1" s="842"/>
      <c r="QQN1" s="842"/>
      <c r="QQO1" s="842"/>
      <c r="QQP1" s="842"/>
      <c r="QQQ1" s="842"/>
      <c r="QQR1" s="842"/>
      <c r="QQS1" s="842"/>
      <c r="QQT1" s="842"/>
      <c r="QQU1" s="842"/>
      <c r="QQV1" s="842"/>
      <c r="QQW1" s="842"/>
      <c r="QQX1" s="842"/>
      <c r="QQY1" s="842"/>
      <c r="QQZ1" s="842"/>
      <c r="QRA1" s="842"/>
      <c r="QRB1" s="842"/>
      <c r="QRC1" s="842"/>
      <c r="QRD1" s="842"/>
      <c r="QRE1" s="842"/>
      <c r="QRF1" s="842"/>
      <c r="QRG1" s="842"/>
      <c r="QRH1" s="842"/>
      <c r="QRI1" s="842"/>
      <c r="QRJ1" s="842"/>
      <c r="QRK1" s="842"/>
      <c r="QRL1" s="842"/>
      <c r="QRM1" s="842"/>
      <c r="QRN1" s="842"/>
      <c r="QRO1" s="842"/>
      <c r="QRP1" s="842"/>
      <c r="QRQ1" s="842"/>
      <c r="QRR1" s="842"/>
      <c r="QRS1" s="842"/>
      <c r="QRT1" s="842"/>
      <c r="QRU1" s="842"/>
      <c r="QRV1" s="842"/>
      <c r="QRW1" s="842"/>
      <c r="QRX1" s="842"/>
      <c r="QRY1" s="842"/>
      <c r="QRZ1" s="842"/>
      <c r="QSA1" s="842"/>
      <c r="QSB1" s="842"/>
      <c r="QSC1" s="842"/>
      <c r="QSD1" s="842"/>
      <c r="QSE1" s="842"/>
      <c r="QSF1" s="842"/>
      <c r="QSG1" s="842"/>
      <c r="QSH1" s="842"/>
      <c r="QSI1" s="842"/>
      <c r="QSJ1" s="842"/>
      <c r="QSK1" s="842"/>
      <c r="QSL1" s="842"/>
      <c r="QSM1" s="842"/>
      <c r="QSN1" s="842"/>
      <c r="QSO1" s="842"/>
      <c r="QSP1" s="842"/>
      <c r="QSQ1" s="842"/>
      <c r="QSR1" s="842"/>
      <c r="QSS1" s="842"/>
      <c r="QST1" s="842"/>
      <c r="QSU1" s="842"/>
      <c r="QSV1" s="842"/>
      <c r="QSW1" s="842"/>
      <c r="QSX1" s="842"/>
      <c r="QSY1" s="842"/>
      <c r="QSZ1" s="842"/>
      <c r="QTA1" s="842"/>
      <c r="QTB1" s="842"/>
      <c r="QTC1" s="842"/>
      <c r="QTD1" s="842"/>
      <c r="QTE1" s="842"/>
      <c r="QTF1" s="842"/>
      <c r="QTG1" s="842"/>
      <c r="QTH1" s="842"/>
      <c r="QTI1" s="842"/>
      <c r="QTJ1" s="842"/>
      <c r="QTK1" s="842"/>
      <c r="QTL1" s="842"/>
      <c r="QTM1" s="842"/>
      <c r="QTN1" s="842"/>
      <c r="QTO1" s="842"/>
      <c r="QTP1" s="842"/>
      <c r="QTQ1" s="842"/>
      <c r="QTR1" s="842"/>
      <c r="QTS1" s="842"/>
      <c r="QTT1" s="842"/>
      <c r="QTU1" s="842"/>
      <c r="QTV1" s="842"/>
      <c r="QTW1" s="842"/>
      <c r="QTX1" s="842"/>
      <c r="QTY1" s="842"/>
      <c r="QTZ1" s="842"/>
      <c r="QUA1" s="842"/>
      <c r="QUB1" s="842"/>
      <c r="QUC1" s="842"/>
      <c r="QUD1" s="842"/>
      <c r="QUE1" s="842"/>
      <c r="QUF1" s="842"/>
      <c r="QUG1" s="842"/>
      <c r="QUH1" s="842"/>
      <c r="QUI1" s="842"/>
      <c r="QUJ1" s="842"/>
      <c r="QUK1" s="842"/>
      <c r="QUL1" s="842"/>
      <c r="QUM1" s="842"/>
      <c r="QUN1" s="842"/>
      <c r="QUO1" s="842"/>
      <c r="QUP1" s="842"/>
      <c r="QUQ1" s="842"/>
      <c r="QUR1" s="842"/>
      <c r="QUS1" s="842"/>
      <c r="QUT1" s="842"/>
      <c r="QUU1" s="842"/>
      <c r="QUV1" s="842"/>
      <c r="QUW1" s="842"/>
      <c r="QUX1" s="842"/>
      <c r="QUY1" s="842"/>
      <c r="QUZ1" s="842"/>
      <c r="QVA1" s="842"/>
      <c r="QVB1" s="842"/>
      <c r="QVC1" s="842"/>
      <c r="QVD1" s="842"/>
      <c r="QVE1" s="842"/>
      <c r="QVF1" s="842"/>
      <c r="QVG1" s="842"/>
      <c r="QVH1" s="842"/>
      <c r="QVI1" s="842"/>
      <c r="QVJ1" s="842"/>
      <c r="QVK1" s="842"/>
      <c r="QVL1" s="842"/>
      <c r="QVM1" s="842"/>
      <c r="QVN1" s="842"/>
      <c r="QVO1" s="842"/>
      <c r="QVP1" s="842"/>
      <c r="QVQ1" s="842"/>
      <c r="QVR1" s="842"/>
      <c r="QVS1" s="842"/>
      <c r="QVT1" s="842"/>
      <c r="QVU1" s="842"/>
      <c r="QVV1" s="842"/>
      <c r="QVW1" s="842"/>
      <c r="QVX1" s="842"/>
      <c r="QVY1" s="842"/>
      <c r="QVZ1" s="842"/>
      <c r="QWA1" s="842"/>
      <c r="QWB1" s="842"/>
      <c r="QWC1" s="842"/>
      <c r="QWD1" s="842"/>
      <c r="QWE1" s="842"/>
      <c r="QWF1" s="842"/>
      <c r="QWG1" s="842"/>
      <c r="QWH1" s="842"/>
      <c r="QWI1" s="842"/>
      <c r="QWJ1" s="842"/>
      <c r="QWK1" s="842"/>
      <c r="QWL1" s="842"/>
      <c r="QWM1" s="842"/>
      <c r="QWN1" s="842"/>
      <c r="QWO1" s="842"/>
      <c r="QWP1" s="842"/>
      <c r="QWQ1" s="842"/>
      <c r="QWR1" s="842"/>
      <c r="QWS1" s="842"/>
      <c r="QWT1" s="842"/>
      <c r="QWU1" s="842"/>
      <c r="QWV1" s="842"/>
      <c r="QWW1" s="842"/>
      <c r="QWX1" s="842"/>
      <c r="QWY1" s="842"/>
      <c r="QWZ1" s="842"/>
      <c r="QXA1" s="842"/>
      <c r="QXB1" s="842"/>
      <c r="QXC1" s="842"/>
      <c r="QXD1" s="842"/>
      <c r="QXE1" s="842"/>
      <c r="QXF1" s="842"/>
      <c r="QXG1" s="842"/>
      <c r="QXH1" s="842"/>
      <c r="QXI1" s="842"/>
      <c r="QXJ1" s="842"/>
      <c r="QXK1" s="842"/>
      <c r="QXL1" s="842"/>
      <c r="QXM1" s="842"/>
      <c r="QXN1" s="842"/>
      <c r="QXO1" s="842"/>
      <c r="QXP1" s="842"/>
      <c r="QXQ1" s="842"/>
      <c r="QXR1" s="842"/>
      <c r="QXS1" s="842"/>
      <c r="QXT1" s="842"/>
      <c r="QXU1" s="842"/>
      <c r="QXV1" s="842"/>
      <c r="QXW1" s="842"/>
      <c r="QXX1" s="842"/>
      <c r="QXY1" s="842"/>
      <c r="QXZ1" s="842"/>
      <c r="QYA1" s="842"/>
      <c r="QYB1" s="842"/>
      <c r="QYC1" s="842"/>
      <c r="QYD1" s="842"/>
      <c r="QYE1" s="842"/>
      <c r="QYF1" s="842"/>
      <c r="QYG1" s="842"/>
      <c r="QYH1" s="842"/>
      <c r="QYI1" s="842"/>
      <c r="QYJ1" s="842"/>
      <c r="QYK1" s="842"/>
      <c r="QYL1" s="842"/>
      <c r="QYM1" s="842"/>
      <c r="QYN1" s="842"/>
      <c r="QYO1" s="842"/>
      <c r="QYP1" s="842"/>
      <c r="QYQ1" s="842"/>
      <c r="QYR1" s="842"/>
      <c r="QYS1" s="842"/>
      <c r="QYT1" s="842"/>
      <c r="QYU1" s="842"/>
      <c r="QYV1" s="842"/>
      <c r="QYW1" s="842"/>
      <c r="QYX1" s="842"/>
      <c r="QYY1" s="842"/>
      <c r="QYZ1" s="842"/>
      <c r="QZA1" s="842"/>
      <c r="QZB1" s="842"/>
      <c r="QZC1" s="842"/>
      <c r="QZD1" s="842"/>
      <c r="QZE1" s="842"/>
      <c r="QZF1" s="842"/>
      <c r="QZG1" s="842"/>
      <c r="QZH1" s="842"/>
      <c r="QZI1" s="842"/>
      <c r="QZJ1" s="842"/>
      <c r="QZK1" s="842"/>
      <c r="QZL1" s="842"/>
      <c r="QZM1" s="842"/>
      <c r="QZN1" s="842"/>
      <c r="QZO1" s="842"/>
      <c r="QZP1" s="842"/>
      <c r="QZQ1" s="842"/>
      <c r="QZR1" s="842"/>
      <c r="QZS1" s="842"/>
      <c r="QZT1" s="842"/>
      <c r="QZU1" s="842"/>
      <c r="QZV1" s="842"/>
      <c r="QZW1" s="842"/>
      <c r="QZX1" s="842"/>
      <c r="QZY1" s="842"/>
      <c r="QZZ1" s="842"/>
      <c r="RAA1" s="842"/>
      <c r="RAB1" s="842"/>
      <c r="RAC1" s="842"/>
      <c r="RAD1" s="842"/>
      <c r="RAE1" s="842"/>
      <c r="RAF1" s="842"/>
      <c r="RAG1" s="842"/>
      <c r="RAH1" s="842"/>
      <c r="RAI1" s="842"/>
      <c r="RAJ1" s="842"/>
      <c r="RAK1" s="842"/>
      <c r="RAL1" s="842"/>
      <c r="RAM1" s="842"/>
      <c r="RAN1" s="842"/>
      <c r="RAO1" s="842"/>
      <c r="RAP1" s="842"/>
      <c r="RAQ1" s="842"/>
      <c r="RAR1" s="842"/>
      <c r="RAS1" s="842"/>
      <c r="RAT1" s="842"/>
      <c r="RAU1" s="842"/>
      <c r="RAV1" s="842"/>
      <c r="RAW1" s="842"/>
      <c r="RAX1" s="842"/>
      <c r="RAY1" s="842"/>
      <c r="RAZ1" s="842"/>
      <c r="RBA1" s="842"/>
      <c r="RBB1" s="842"/>
      <c r="RBC1" s="842"/>
      <c r="RBD1" s="842"/>
      <c r="RBE1" s="842"/>
      <c r="RBF1" s="842"/>
      <c r="RBG1" s="842"/>
      <c r="RBH1" s="842"/>
      <c r="RBI1" s="842"/>
      <c r="RBJ1" s="842"/>
      <c r="RBK1" s="842"/>
      <c r="RBL1" s="842"/>
      <c r="RBM1" s="842"/>
      <c r="RBN1" s="842"/>
      <c r="RBO1" s="842"/>
      <c r="RBP1" s="842"/>
      <c r="RBQ1" s="842"/>
      <c r="RBR1" s="842"/>
      <c r="RBS1" s="842"/>
      <c r="RBT1" s="842"/>
      <c r="RBU1" s="842"/>
      <c r="RBV1" s="842"/>
      <c r="RBW1" s="842"/>
      <c r="RBX1" s="842"/>
      <c r="RBY1" s="842"/>
      <c r="RBZ1" s="842"/>
      <c r="RCA1" s="842"/>
      <c r="RCB1" s="842"/>
      <c r="RCC1" s="842"/>
      <c r="RCD1" s="842"/>
      <c r="RCE1" s="842"/>
      <c r="RCF1" s="842"/>
      <c r="RCG1" s="842"/>
      <c r="RCH1" s="842"/>
      <c r="RCI1" s="842"/>
      <c r="RCJ1" s="842"/>
      <c r="RCK1" s="842"/>
      <c r="RCL1" s="842"/>
      <c r="RCM1" s="842"/>
      <c r="RCN1" s="842"/>
      <c r="RCO1" s="842"/>
      <c r="RCP1" s="842"/>
      <c r="RCQ1" s="842"/>
      <c r="RCR1" s="842"/>
      <c r="RCS1" s="842"/>
      <c r="RCT1" s="842"/>
      <c r="RCU1" s="842"/>
      <c r="RCV1" s="842"/>
      <c r="RCW1" s="842"/>
      <c r="RCX1" s="842"/>
      <c r="RCY1" s="842"/>
      <c r="RCZ1" s="842"/>
      <c r="RDA1" s="842"/>
      <c r="RDB1" s="842"/>
      <c r="RDC1" s="842"/>
      <c r="RDD1" s="842"/>
      <c r="RDE1" s="842"/>
      <c r="RDF1" s="842"/>
      <c r="RDG1" s="842"/>
      <c r="RDH1" s="842"/>
      <c r="RDI1" s="842"/>
      <c r="RDJ1" s="842"/>
      <c r="RDK1" s="842"/>
      <c r="RDL1" s="842"/>
      <c r="RDM1" s="842"/>
      <c r="RDN1" s="842"/>
      <c r="RDO1" s="842"/>
      <c r="RDP1" s="842"/>
      <c r="RDQ1" s="842"/>
      <c r="RDR1" s="842"/>
      <c r="RDS1" s="842"/>
      <c r="RDT1" s="842"/>
      <c r="RDU1" s="842"/>
      <c r="RDV1" s="842"/>
      <c r="RDW1" s="842"/>
      <c r="RDX1" s="842"/>
      <c r="RDY1" s="842"/>
      <c r="RDZ1" s="842"/>
      <c r="REA1" s="842"/>
      <c r="REB1" s="842"/>
      <c r="REC1" s="842"/>
      <c r="RED1" s="842"/>
      <c r="REE1" s="842"/>
      <c r="REF1" s="842"/>
      <c r="REG1" s="842"/>
      <c r="REH1" s="842"/>
      <c r="REI1" s="842"/>
      <c r="REJ1" s="842"/>
      <c r="REK1" s="842"/>
      <c r="REL1" s="842"/>
      <c r="REM1" s="842"/>
      <c r="REN1" s="842"/>
      <c r="REO1" s="842"/>
      <c r="REP1" s="842"/>
      <c r="REQ1" s="842"/>
      <c r="RER1" s="842"/>
      <c r="RES1" s="842"/>
      <c r="RET1" s="842"/>
      <c r="REU1" s="842"/>
      <c r="REV1" s="842"/>
      <c r="REW1" s="842"/>
      <c r="REX1" s="842"/>
      <c r="REY1" s="842"/>
      <c r="REZ1" s="842"/>
      <c r="RFA1" s="842"/>
      <c r="RFB1" s="842"/>
      <c r="RFC1" s="842"/>
      <c r="RFD1" s="842"/>
      <c r="RFE1" s="842"/>
      <c r="RFF1" s="842"/>
      <c r="RFG1" s="842"/>
      <c r="RFH1" s="842"/>
      <c r="RFI1" s="842"/>
      <c r="RFJ1" s="842"/>
      <c r="RFK1" s="842"/>
      <c r="RFL1" s="842"/>
      <c r="RFM1" s="842"/>
      <c r="RFN1" s="842"/>
      <c r="RFO1" s="842"/>
      <c r="RFP1" s="842"/>
      <c r="RFQ1" s="842"/>
      <c r="RFR1" s="842"/>
      <c r="RFS1" s="842"/>
      <c r="RFT1" s="842"/>
      <c r="RFU1" s="842"/>
      <c r="RFV1" s="842"/>
      <c r="RFW1" s="842"/>
      <c r="RFX1" s="842"/>
      <c r="RFY1" s="842"/>
      <c r="RFZ1" s="842"/>
      <c r="RGA1" s="842"/>
      <c r="RGB1" s="842"/>
      <c r="RGC1" s="842"/>
      <c r="RGD1" s="842"/>
      <c r="RGE1" s="842"/>
      <c r="RGF1" s="842"/>
      <c r="RGG1" s="842"/>
      <c r="RGH1" s="842"/>
      <c r="RGI1" s="842"/>
      <c r="RGJ1" s="842"/>
      <c r="RGK1" s="842"/>
      <c r="RGL1" s="842"/>
      <c r="RGM1" s="842"/>
      <c r="RGN1" s="842"/>
      <c r="RGO1" s="842"/>
      <c r="RGP1" s="842"/>
      <c r="RGQ1" s="842"/>
      <c r="RGR1" s="842"/>
      <c r="RGS1" s="842"/>
      <c r="RGT1" s="842"/>
      <c r="RGU1" s="842"/>
      <c r="RGV1" s="842"/>
      <c r="RGW1" s="842"/>
      <c r="RGX1" s="842"/>
      <c r="RGY1" s="842"/>
      <c r="RGZ1" s="842"/>
      <c r="RHA1" s="842"/>
      <c r="RHB1" s="842"/>
      <c r="RHC1" s="842"/>
      <c r="RHD1" s="842"/>
      <c r="RHE1" s="842"/>
      <c r="RHF1" s="842"/>
      <c r="RHG1" s="842"/>
      <c r="RHH1" s="842"/>
      <c r="RHI1" s="842"/>
      <c r="RHJ1" s="842"/>
      <c r="RHK1" s="842"/>
      <c r="RHL1" s="842"/>
      <c r="RHM1" s="842"/>
      <c r="RHN1" s="842"/>
      <c r="RHO1" s="842"/>
      <c r="RHP1" s="842"/>
      <c r="RHQ1" s="842"/>
      <c r="RHR1" s="842"/>
      <c r="RHS1" s="842"/>
      <c r="RHT1" s="842"/>
      <c r="RHU1" s="842"/>
      <c r="RHV1" s="842"/>
      <c r="RHW1" s="842"/>
      <c r="RHX1" s="842"/>
      <c r="RHY1" s="842"/>
      <c r="RHZ1" s="842"/>
      <c r="RIA1" s="842"/>
      <c r="RIB1" s="842"/>
      <c r="RIC1" s="842"/>
      <c r="RID1" s="842"/>
      <c r="RIE1" s="842"/>
      <c r="RIF1" s="842"/>
      <c r="RIG1" s="842"/>
      <c r="RIH1" s="842"/>
      <c r="RII1" s="842"/>
      <c r="RIJ1" s="842"/>
      <c r="RIK1" s="842"/>
      <c r="RIL1" s="842"/>
      <c r="RIM1" s="842"/>
      <c r="RIN1" s="842"/>
      <c r="RIO1" s="842"/>
      <c r="RIP1" s="842"/>
      <c r="RIQ1" s="842"/>
      <c r="RIR1" s="842"/>
      <c r="RIS1" s="842"/>
      <c r="RIT1" s="842"/>
      <c r="RIU1" s="842"/>
      <c r="RIV1" s="842"/>
      <c r="RIW1" s="842"/>
      <c r="RIX1" s="842"/>
      <c r="RIY1" s="842"/>
      <c r="RIZ1" s="842"/>
      <c r="RJA1" s="842"/>
      <c r="RJB1" s="842"/>
      <c r="RJC1" s="842"/>
      <c r="RJD1" s="842"/>
      <c r="RJE1" s="842"/>
      <c r="RJF1" s="842"/>
      <c r="RJG1" s="842"/>
      <c r="RJH1" s="842"/>
      <c r="RJI1" s="842"/>
      <c r="RJJ1" s="842"/>
      <c r="RJK1" s="842"/>
      <c r="RJL1" s="842"/>
      <c r="RJM1" s="842"/>
      <c r="RJN1" s="842"/>
      <c r="RJO1" s="842"/>
      <c r="RJP1" s="842"/>
      <c r="RJQ1" s="842"/>
      <c r="RJR1" s="842"/>
      <c r="RJS1" s="842"/>
      <c r="RJT1" s="842"/>
      <c r="RJU1" s="842"/>
      <c r="RJV1" s="842"/>
      <c r="RJW1" s="842"/>
      <c r="RJX1" s="842"/>
      <c r="RJY1" s="842"/>
      <c r="RJZ1" s="842"/>
      <c r="RKA1" s="842"/>
      <c r="RKB1" s="842"/>
      <c r="RKC1" s="842"/>
      <c r="RKD1" s="842"/>
      <c r="RKE1" s="842"/>
      <c r="RKF1" s="842"/>
      <c r="RKG1" s="842"/>
      <c r="RKH1" s="842"/>
      <c r="RKI1" s="842"/>
      <c r="RKJ1" s="842"/>
      <c r="RKK1" s="842"/>
      <c r="RKL1" s="842"/>
      <c r="RKM1" s="842"/>
      <c r="RKN1" s="842"/>
      <c r="RKO1" s="842"/>
      <c r="RKP1" s="842"/>
      <c r="RKQ1" s="842"/>
      <c r="RKR1" s="842"/>
      <c r="RKS1" s="842"/>
      <c r="RKT1" s="842"/>
      <c r="RKU1" s="842"/>
      <c r="RKV1" s="842"/>
      <c r="RKW1" s="842"/>
      <c r="RKX1" s="842"/>
      <c r="RKY1" s="842"/>
      <c r="RKZ1" s="842"/>
      <c r="RLA1" s="842"/>
      <c r="RLB1" s="842"/>
      <c r="RLC1" s="842"/>
      <c r="RLD1" s="842"/>
      <c r="RLE1" s="842"/>
      <c r="RLF1" s="842"/>
      <c r="RLG1" s="842"/>
      <c r="RLH1" s="842"/>
      <c r="RLI1" s="842"/>
      <c r="RLJ1" s="842"/>
      <c r="RLK1" s="842"/>
      <c r="RLL1" s="842"/>
      <c r="RLM1" s="842"/>
      <c r="RLN1" s="842"/>
      <c r="RLO1" s="842"/>
      <c r="RLP1" s="842"/>
      <c r="RLQ1" s="842"/>
      <c r="RLR1" s="842"/>
      <c r="RLS1" s="842"/>
      <c r="RLT1" s="842"/>
      <c r="RLU1" s="842"/>
      <c r="RLV1" s="842"/>
      <c r="RLW1" s="842"/>
      <c r="RLX1" s="842"/>
      <c r="RLY1" s="842"/>
      <c r="RLZ1" s="842"/>
      <c r="RMA1" s="842"/>
      <c r="RMB1" s="842"/>
      <c r="RMC1" s="842"/>
      <c r="RMD1" s="842"/>
      <c r="RME1" s="842"/>
      <c r="RMF1" s="842"/>
      <c r="RMG1" s="842"/>
      <c r="RMH1" s="842"/>
      <c r="RMI1" s="842"/>
      <c r="RMJ1" s="842"/>
      <c r="RMK1" s="842"/>
      <c r="RML1" s="842"/>
      <c r="RMM1" s="842"/>
      <c r="RMN1" s="842"/>
      <c r="RMO1" s="842"/>
      <c r="RMP1" s="842"/>
      <c r="RMQ1" s="842"/>
      <c r="RMR1" s="842"/>
      <c r="RMS1" s="842"/>
      <c r="RMT1" s="842"/>
      <c r="RMU1" s="842"/>
      <c r="RMV1" s="842"/>
      <c r="RMW1" s="842"/>
      <c r="RMX1" s="842"/>
      <c r="RMY1" s="842"/>
      <c r="RMZ1" s="842"/>
      <c r="RNA1" s="842"/>
      <c r="RNB1" s="842"/>
      <c r="RNC1" s="842"/>
      <c r="RND1" s="842"/>
      <c r="RNE1" s="842"/>
      <c r="RNF1" s="842"/>
      <c r="RNG1" s="842"/>
      <c r="RNH1" s="842"/>
      <c r="RNI1" s="842"/>
      <c r="RNJ1" s="842"/>
      <c r="RNK1" s="842"/>
      <c r="RNL1" s="842"/>
      <c r="RNM1" s="842"/>
      <c r="RNN1" s="842"/>
      <c r="RNO1" s="842"/>
      <c r="RNP1" s="842"/>
      <c r="RNQ1" s="842"/>
      <c r="RNR1" s="842"/>
      <c r="RNS1" s="842"/>
      <c r="RNT1" s="842"/>
      <c r="RNU1" s="842"/>
      <c r="RNV1" s="842"/>
      <c r="RNW1" s="842"/>
      <c r="RNX1" s="842"/>
      <c r="RNY1" s="842"/>
      <c r="RNZ1" s="842"/>
      <c r="ROA1" s="842"/>
      <c r="ROB1" s="842"/>
      <c r="ROC1" s="842"/>
      <c r="ROD1" s="842"/>
      <c r="ROE1" s="842"/>
      <c r="ROF1" s="842"/>
      <c r="ROG1" s="842"/>
      <c r="ROH1" s="842"/>
      <c r="ROI1" s="842"/>
      <c r="ROJ1" s="842"/>
      <c r="ROK1" s="842"/>
      <c r="ROL1" s="842"/>
      <c r="ROM1" s="842"/>
      <c r="RON1" s="842"/>
      <c r="ROO1" s="842"/>
      <c r="ROP1" s="842"/>
      <c r="ROQ1" s="842"/>
      <c r="ROR1" s="842"/>
      <c r="ROS1" s="842"/>
      <c r="ROT1" s="842"/>
      <c r="ROU1" s="842"/>
      <c r="ROV1" s="842"/>
      <c r="ROW1" s="842"/>
      <c r="ROX1" s="842"/>
      <c r="ROY1" s="842"/>
      <c r="ROZ1" s="842"/>
      <c r="RPA1" s="842"/>
      <c r="RPB1" s="842"/>
      <c r="RPC1" s="842"/>
      <c r="RPD1" s="842"/>
      <c r="RPE1" s="842"/>
      <c r="RPF1" s="842"/>
      <c r="RPG1" s="842"/>
      <c r="RPH1" s="842"/>
      <c r="RPI1" s="842"/>
      <c r="RPJ1" s="842"/>
      <c r="RPK1" s="842"/>
      <c r="RPL1" s="842"/>
      <c r="RPM1" s="842"/>
      <c r="RPN1" s="842"/>
      <c r="RPO1" s="842"/>
      <c r="RPP1" s="842"/>
      <c r="RPQ1" s="842"/>
      <c r="RPR1" s="842"/>
      <c r="RPS1" s="842"/>
      <c r="RPT1" s="842"/>
      <c r="RPU1" s="842"/>
      <c r="RPV1" s="842"/>
      <c r="RPW1" s="842"/>
      <c r="RPX1" s="842"/>
      <c r="RPY1" s="842"/>
      <c r="RPZ1" s="842"/>
      <c r="RQA1" s="842"/>
      <c r="RQB1" s="842"/>
      <c r="RQC1" s="842"/>
      <c r="RQD1" s="842"/>
      <c r="RQE1" s="842"/>
      <c r="RQF1" s="842"/>
      <c r="RQG1" s="842"/>
      <c r="RQH1" s="842"/>
      <c r="RQI1" s="842"/>
      <c r="RQJ1" s="842"/>
      <c r="RQK1" s="842"/>
      <c r="RQL1" s="842"/>
      <c r="RQM1" s="842"/>
      <c r="RQN1" s="842"/>
      <c r="RQO1" s="842"/>
      <c r="RQP1" s="842"/>
      <c r="RQQ1" s="842"/>
      <c r="RQR1" s="842"/>
      <c r="RQS1" s="842"/>
      <c r="RQT1" s="842"/>
      <c r="RQU1" s="842"/>
      <c r="RQV1" s="842"/>
      <c r="RQW1" s="842"/>
      <c r="RQX1" s="842"/>
      <c r="RQY1" s="842"/>
      <c r="RQZ1" s="842"/>
      <c r="RRA1" s="842"/>
      <c r="RRB1" s="842"/>
      <c r="RRC1" s="842"/>
      <c r="RRD1" s="842"/>
      <c r="RRE1" s="842"/>
      <c r="RRF1" s="842"/>
      <c r="RRG1" s="842"/>
      <c r="RRH1" s="842"/>
      <c r="RRI1" s="842"/>
      <c r="RRJ1" s="842"/>
      <c r="RRK1" s="842"/>
      <c r="RRL1" s="842"/>
      <c r="RRM1" s="842"/>
      <c r="RRN1" s="842"/>
      <c r="RRO1" s="842"/>
      <c r="RRP1" s="842"/>
      <c r="RRQ1" s="842"/>
      <c r="RRR1" s="842"/>
      <c r="RRS1" s="842"/>
      <c r="RRT1" s="842"/>
      <c r="RRU1" s="842"/>
      <c r="RRV1" s="842"/>
      <c r="RRW1" s="842"/>
      <c r="RRX1" s="842"/>
      <c r="RRY1" s="842"/>
      <c r="RRZ1" s="842"/>
      <c r="RSA1" s="842"/>
      <c r="RSB1" s="842"/>
      <c r="RSC1" s="842"/>
      <c r="RSD1" s="842"/>
      <c r="RSE1" s="842"/>
      <c r="RSF1" s="842"/>
      <c r="RSG1" s="842"/>
      <c r="RSH1" s="842"/>
      <c r="RSI1" s="842"/>
      <c r="RSJ1" s="842"/>
      <c r="RSK1" s="842"/>
      <c r="RSL1" s="842"/>
      <c r="RSM1" s="842"/>
      <c r="RSN1" s="842"/>
      <c r="RSO1" s="842"/>
      <c r="RSP1" s="842"/>
      <c r="RSQ1" s="842"/>
      <c r="RSR1" s="842"/>
      <c r="RSS1" s="842"/>
      <c r="RST1" s="842"/>
      <c r="RSU1" s="842"/>
      <c r="RSV1" s="842"/>
      <c r="RSW1" s="842"/>
      <c r="RSX1" s="842"/>
      <c r="RSY1" s="842"/>
      <c r="RSZ1" s="842"/>
      <c r="RTA1" s="842"/>
      <c r="RTB1" s="842"/>
      <c r="RTC1" s="842"/>
      <c r="RTD1" s="842"/>
      <c r="RTE1" s="842"/>
      <c r="RTF1" s="842"/>
      <c r="RTG1" s="842"/>
      <c r="RTH1" s="842"/>
      <c r="RTI1" s="842"/>
      <c r="RTJ1" s="842"/>
      <c r="RTK1" s="842"/>
      <c r="RTL1" s="842"/>
      <c r="RTM1" s="842"/>
      <c r="RTN1" s="842"/>
      <c r="RTO1" s="842"/>
      <c r="RTP1" s="842"/>
      <c r="RTQ1" s="842"/>
      <c r="RTR1" s="842"/>
      <c r="RTS1" s="842"/>
      <c r="RTT1" s="842"/>
      <c r="RTU1" s="842"/>
      <c r="RTV1" s="842"/>
      <c r="RTW1" s="842"/>
      <c r="RTX1" s="842"/>
      <c r="RTY1" s="842"/>
      <c r="RTZ1" s="842"/>
      <c r="RUA1" s="842"/>
      <c r="RUB1" s="842"/>
      <c r="RUC1" s="842"/>
      <c r="RUD1" s="842"/>
      <c r="RUE1" s="842"/>
      <c r="RUF1" s="842"/>
      <c r="RUG1" s="842"/>
      <c r="RUH1" s="842"/>
      <c r="RUI1" s="842"/>
      <c r="RUJ1" s="842"/>
      <c r="RUK1" s="842"/>
      <c r="RUL1" s="842"/>
      <c r="RUM1" s="842"/>
      <c r="RUN1" s="842"/>
      <c r="RUO1" s="842"/>
      <c r="RUP1" s="842"/>
      <c r="RUQ1" s="842"/>
      <c r="RUR1" s="842"/>
      <c r="RUS1" s="842"/>
      <c r="RUT1" s="842"/>
      <c r="RUU1" s="842"/>
      <c r="RUV1" s="842"/>
      <c r="RUW1" s="842"/>
      <c r="RUX1" s="842"/>
      <c r="RUY1" s="842"/>
      <c r="RUZ1" s="842"/>
      <c r="RVA1" s="842"/>
      <c r="RVB1" s="842"/>
      <c r="RVC1" s="842"/>
      <c r="RVD1" s="842"/>
      <c r="RVE1" s="842"/>
      <c r="RVF1" s="842"/>
      <c r="RVG1" s="842"/>
      <c r="RVH1" s="842"/>
      <c r="RVI1" s="842"/>
      <c r="RVJ1" s="842"/>
      <c r="RVK1" s="842"/>
      <c r="RVL1" s="842"/>
      <c r="RVM1" s="842"/>
      <c r="RVN1" s="842"/>
      <c r="RVO1" s="842"/>
      <c r="RVP1" s="842"/>
      <c r="RVQ1" s="842"/>
      <c r="RVR1" s="842"/>
      <c r="RVS1" s="842"/>
      <c r="RVT1" s="842"/>
      <c r="RVU1" s="842"/>
      <c r="RVV1" s="842"/>
      <c r="RVW1" s="842"/>
      <c r="RVX1" s="842"/>
      <c r="RVY1" s="842"/>
      <c r="RVZ1" s="842"/>
      <c r="RWA1" s="842"/>
      <c r="RWB1" s="842"/>
      <c r="RWC1" s="842"/>
      <c r="RWD1" s="842"/>
      <c r="RWE1" s="842"/>
      <c r="RWF1" s="842"/>
      <c r="RWG1" s="842"/>
      <c r="RWH1" s="842"/>
      <c r="RWI1" s="842"/>
      <c r="RWJ1" s="842"/>
      <c r="RWK1" s="842"/>
      <c r="RWL1" s="842"/>
      <c r="RWM1" s="842"/>
      <c r="RWN1" s="842"/>
      <c r="RWO1" s="842"/>
      <c r="RWP1" s="842"/>
      <c r="RWQ1" s="842"/>
      <c r="RWR1" s="842"/>
      <c r="RWS1" s="842"/>
      <c r="RWT1" s="842"/>
      <c r="RWU1" s="842"/>
      <c r="RWV1" s="842"/>
      <c r="RWW1" s="842"/>
      <c r="RWX1" s="842"/>
      <c r="RWY1" s="842"/>
      <c r="RWZ1" s="842"/>
      <c r="RXA1" s="842"/>
      <c r="RXB1" s="842"/>
      <c r="RXC1" s="842"/>
      <c r="RXD1" s="842"/>
      <c r="RXE1" s="842"/>
      <c r="RXF1" s="842"/>
      <c r="RXG1" s="842"/>
      <c r="RXH1" s="842"/>
      <c r="RXI1" s="842"/>
      <c r="RXJ1" s="842"/>
      <c r="RXK1" s="842"/>
      <c r="RXL1" s="842"/>
      <c r="RXM1" s="842"/>
      <c r="RXN1" s="842"/>
      <c r="RXO1" s="842"/>
      <c r="RXP1" s="842"/>
      <c r="RXQ1" s="842"/>
      <c r="RXR1" s="842"/>
      <c r="RXS1" s="842"/>
      <c r="RXT1" s="842"/>
      <c r="RXU1" s="842"/>
      <c r="RXV1" s="842"/>
      <c r="RXW1" s="842"/>
      <c r="RXX1" s="842"/>
      <c r="RXY1" s="842"/>
      <c r="RXZ1" s="842"/>
      <c r="RYA1" s="842"/>
      <c r="RYB1" s="842"/>
      <c r="RYC1" s="842"/>
      <c r="RYD1" s="842"/>
      <c r="RYE1" s="842"/>
      <c r="RYF1" s="842"/>
      <c r="RYG1" s="842"/>
      <c r="RYH1" s="842"/>
      <c r="RYI1" s="842"/>
      <c r="RYJ1" s="842"/>
      <c r="RYK1" s="842"/>
      <c r="RYL1" s="842"/>
      <c r="RYM1" s="842"/>
      <c r="RYN1" s="842"/>
      <c r="RYO1" s="842"/>
      <c r="RYP1" s="842"/>
      <c r="RYQ1" s="842"/>
      <c r="RYR1" s="842"/>
      <c r="RYS1" s="842"/>
      <c r="RYT1" s="842"/>
      <c r="RYU1" s="842"/>
      <c r="RYV1" s="842"/>
      <c r="RYW1" s="842"/>
      <c r="RYX1" s="842"/>
      <c r="RYY1" s="842"/>
      <c r="RYZ1" s="842"/>
      <c r="RZA1" s="842"/>
      <c r="RZB1" s="842"/>
      <c r="RZC1" s="842"/>
      <c r="RZD1" s="842"/>
      <c r="RZE1" s="842"/>
      <c r="RZF1" s="842"/>
      <c r="RZG1" s="842"/>
      <c r="RZH1" s="842"/>
      <c r="RZI1" s="842"/>
      <c r="RZJ1" s="842"/>
      <c r="RZK1" s="842"/>
      <c r="RZL1" s="842"/>
      <c r="RZM1" s="842"/>
      <c r="RZN1" s="842"/>
      <c r="RZO1" s="842"/>
      <c r="RZP1" s="842"/>
      <c r="RZQ1" s="842"/>
      <c r="RZR1" s="842"/>
      <c r="RZS1" s="842"/>
      <c r="RZT1" s="842"/>
      <c r="RZU1" s="842"/>
      <c r="RZV1" s="842"/>
      <c r="RZW1" s="842"/>
      <c r="RZX1" s="842"/>
      <c r="RZY1" s="842"/>
      <c r="RZZ1" s="842"/>
      <c r="SAA1" s="842"/>
      <c r="SAB1" s="842"/>
      <c r="SAC1" s="842"/>
      <c r="SAD1" s="842"/>
      <c r="SAE1" s="842"/>
      <c r="SAF1" s="842"/>
      <c r="SAG1" s="842"/>
      <c r="SAH1" s="842"/>
      <c r="SAI1" s="842"/>
      <c r="SAJ1" s="842"/>
      <c r="SAK1" s="842"/>
      <c r="SAL1" s="842"/>
      <c r="SAM1" s="842"/>
      <c r="SAN1" s="842"/>
      <c r="SAO1" s="842"/>
      <c r="SAP1" s="842"/>
      <c r="SAQ1" s="842"/>
      <c r="SAR1" s="842"/>
      <c r="SAS1" s="842"/>
      <c r="SAT1" s="842"/>
      <c r="SAU1" s="842"/>
      <c r="SAV1" s="842"/>
      <c r="SAW1" s="842"/>
      <c r="SAX1" s="842"/>
      <c r="SAY1" s="842"/>
      <c r="SAZ1" s="842"/>
      <c r="SBA1" s="842"/>
      <c r="SBB1" s="842"/>
      <c r="SBC1" s="842"/>
      <c r="SBD1" s="842"/>
      <c r="SBE1" s="842"/>
      <c r="SBF1" s="842"/>
      <c r="SBG1" s="842"/>
      <c r="SBH1" s="842"/>
      <c r="SBI1" s="842"/>
      <c r="SBJ1" s="842"/>
      <c r="SBK1" s="842"/>
      <c r="SBL1" s="842"/>
      <c r="SBM1" s="842"/>
      <c r="SBN1" s="842"/>
      <c r="SBO1" s="842"/>
      <c r="SBP1" s="842"/>
      <c r="SBQ1" s="842"/>
      <c r="SBR1" s="842"/>
      <c r="SBS1" s="842"/>
      <c r="SBT1" s="842"/>
      <c r="SBU1" s="842"/>
      <c r="SBV1" s="842"/>
      <c r="SBW1" s="842"/>
      <c r="SBX1" s="842"/>
      <c r="SBY1" s="842"/>
      <c r="SBZ1" s="842"/>
      <c r="SCA1" s="842"/>
      <c r="SCB1" s="842"/>
      <c r="SCC1" s="842"/>
      <c r="SCD1" s="842"/>
      <c r="SCE1" s="842"/>
      <c r="SCF1" s="842"/>
      <c r="SCG1" s="842"/>
      <c r="SCH1" s="842"/>
      <c r="SCI1" s="842"/>
      <c r="SCJ1" s="842"/>
      <c r="SCK1" s="842"/>
      <c r="SCL1" s="842"/>
      <c r="SCM1" s="842"/>
      <c r="SCN1" s="842"/>
      <c r="SCO1" s="842"/>
      <c r="SCP1" s="842"/>
      <c r="SCQ1" s="842"/>
      <c r="SCR1" s="842"/>
      <c r="SCS1" s="842"/>
      <c r="SCT1" s="842"/>
      <c r="SCU1" s="842"/>
      <c r="SCV1" s="842"/>
      <c r="SCW1" s="842"/>
      <c r="SCX1" s="842"/>
      <c r="SCY1" s="842"/>
      <c r="SCZ1" s="842"/>
      <c r="SDA1" s="842"/>
      <c r="SDB1" s="842"/>
      <c r="SDC1" s="842"/>
      <c r="SDD1" s="842"/>
      <c r="SDE1" s="842"/>
      <c r="SDF1" s="842"/>
      <c r="SDG1" s="842"/>
      <c r="SDH1" s="842"/>
      <c r="SDI1" s="842"/>
      <c r="SDJ1" s="842"/>
      <c r="SDK1" s="842"/>
      <c r="SDL1" s="842"/>
      <c r="SDM1" s="842"/>
      <c r="SDN1" s="842"/>
      <c r="SDO1" s="842"/>
      <c r="SDP1" s="842"/>
      <c r="SDQ1" s="842"/>
      <c r="SDR1" s="842"/>
      <c r="SDS1" s="842"/>
      <c r="SDT1" s="842"/>
      <c r="SDU1" s="842"/>
      <c r="SDV1" s="842"/>
      <c r="SDW1" s="842"/>
      <c r="SDX1" s="842"/>
      <c r="SDY1" s="842"/>
      <c r="SDZ1" s="842"/>
      <c r="SEA1" s="842"/>
      <c r="SEB1" s="842"/>
      <c r="SEC1" s="842"/>
      <c r="SED1" s="842"/>
      <c r="SEE1" s="842"/>
      <c r="SEF1" s="842"/>
      <c r="SEG1" s="842"/>
      <c r="SEH1" s="842"/>
      <c r="SEI1" s="842"/>
      <c r="SEJ1" s="842"/>
      <c r="SEK1" s="842"/>
      <c r="SEL1" s="842"/>
      <c r="SEM1" s="842"/>
      <c r="SEN1" s="842"/>
      <c r="SEO1" s="842"/>
      <c r="SEP1" s="842"/>
      <c r="SEQ1" s="842"/>
      <c r="SER1" s="842"/>
      <c r="SES1" s="842"/>
      <c r="SET1" s="842"/>
      <c r="SEU1" s="842"/>
      <c r="SEV1" s="842"/>
      <c r="SEW1" s="842"/>
      <c r="SEX1" s="842"/>
      <c r="SEY1" s="842"/>
      <c r="SEZ1" s="842"/>
      <c r="SFA1" s="842"/>
      <c r="SFB1" s="842"/>
      <c r="SFC1" s="842"/>
      <c r="SFD1" s="842"/>
      <c r="SFE1" s="842"/>
      <c r="SFF1" s="842"/>
      <c r="SFG1" s="842"/>
      <c r="SFH1" s="842"/>
      <c r="SFI1" s="842"/>
      <c r="SFJ1" s="842"/>
      <c r="SFK1" s="842"/>
      <c r="SFL1" s="842"/>
      <c r="SFM1" s="842"/>
      <c r="SFN1" s="842"/>
      <c r="SFO1" s="842"/>
      <c r="SFP1" s="842"/>
      <c r="SFQ1" s="842"/>
      <c r="SFR1" s="842"/>
      <c r="SFS1" s="842"/>
      <c r="SFT1" s="842"/>
      <c r="SFU1" s="842"/>
      <c r="SFV1" s="842"/>
      <c r="SFW1" s="842"/>
      <c r="SFX1" s="842"/>
      <c r="SFY1" s="842"/>
      <c r="SFZ1" s="842"/>
      <c r="SGA1" s="842"/>
      <c r="SGB1" s="842"/>
      <c r="SGC1" s="842"/>
      <c r="SGD1" s="842"/>
      <c r="SGE1" s="842"/>
      <c r="SGF1" s="842"/>
      <c r="SGG1" s="842"/>
      <c r="SGH1" s="842"/>
      <c r="SGI1" s="842"/>
      <c r="SGJ1" s="842"/>
      <c r="SGK1" s="842"/>
      <c r="SGL1" s="842"/>
      <c r="SGM1" s="842"/>
      <c r="SGN1" s="842"/>
      <c r="SGO1" s="842"/>
      <c r="SGP1" s="842"/>
      <c r="SGQ1" s="842"/>
      <c r="SGR1" s="842"/>
      <c r="SGS1" s="842"/>
      <c r="SGT1" s="842"/>
      <c r="SGU1" s="842"/>
      <c r="SGV1" s="842"/>
      <c r="SGW1" s="842"/>
      <c r="SGX1" s="842"/>
      <c r="SGY1" s="842"/>
      <c r="SGZ1" s="842"/>
      <c r="SHA1" s="842"/>
      <c r="SHB1" s="842"/>
      <c r="SHC1" s="842"/>
      <c r="SHD1" s="842"/>
      <c r="SHE1" s="842"/>
      <c r="SHF1" s="842"/>
      <c r="SHG1" s="842"/>
      <c r="SHH1" s="842"/>
      <c r="SHI1" s="842"/>
      <c r="SHJ1" s="842"/>
      <c r="SHK1" s="842"/>
      <c r="SHL1" s="842"/>
      <c r="SHM1" s="842"/>
      <c r="SHN1" s="842"/>
      <c r="SHO1" s="842"/>
      <c r="SHP1" s="842"/>
      <c r="SHQ1" s="842"/>
      <c r="SHR1" s="842"/>
      <c r="SHS1" s="842"/>
      <c r="SHT1" s="842"/>
      <c r="SHU1" s="842"/>
      <c r="SHV1" s="842"/>
      <c r="SHW1" s="842"/>
      <c r="SHX1" s="842"/>
      <c r="SHY1" s="842"/>
      <c r="SHZ1" s="842"/>
      <c r="SIA1" s="842"/>
      <c r="SIB1" s="842"/>
      <c r="SIC1" s="842"/>
      <c r="SID1" s="842"/>
      <c r="SIE1" s="842"/>
      <c r="SIF1" s="842"/>
      <c r="SIG1" s="842"/>
      <c r="SIH1" s="842"/>
      <c r="SII1" s="842"/>
      <c r="SIJ1" s="842"/>
      <c r="SIK1" s="842"/>
      <c r="SIL1" s="842"/>
      <c r="SIM1" s="842"/>
      <c r="SIN1" s="842"/>
      <c r="SIO1" s="842"/>
      <c r="SIP1" s="842"/>
      <c r="SIQ1" s="842"/>
      <c r="SIR1" s="842"/>
      <c r="SIS1" s="842"/>
      <c r="SIT1" s="842"/>
      <c r="SIU1" s="842"/>
      <c r="SIV1" s="842"/>
      <c r="SIW1" s="842"/>
      <c r="SIX1" s="842"/>
      <c r="SIY1" s="842"/>
      <c r="SIZ1" s="842"/>
      <c r="SJA1" s="842"/>
      <c r="SJB1" s="842"/>
      <c r="SJC1" s="842"/>
      <c r="SJD1" s="842"/>
      <c r="SJE1" s="842"/>
      <c r="SJF1" s="842"/>
      <c r="SJG1" s="842"/>
      <c r="SJH1" s="842"/>
      <c r="SJI1" s="842"/>
      <c r="SJJ1" s="842"/>
      <c r="SJK1" s="842"/>
      <c r="SJL1" s="842"/>
      <c r="SJM1" s="842"/>
      <c r="SJN1" s="842"/>
      <c r="SJO1" s="842"/>
      <c r="SJP1" s="842"/>
      <c r="SJQ1" s="842"/>
      <c r="SJR1" s="842"/>
      <c r="SJS1" s="842"/>
      <c r="SJT1" s="842"/>
      <c r="SJU1" s="842"/>
      <c r="SJV1" s="842"/>
      <c r="SJW1" s="842"/>
      <c r="SJX1" s="842"/>
      <c r="SJY1" s="842"/>
      <c r="SJZ1" s="842"/>
      <c r="SKA1" s="842"/>
      <c r="SKB1" s="842"/>
      <c r="SKC1" s="842"/>
      <c r="SKD1" s="842"/>
      <c r="SKE1" s="842"/>
      <c r="SKF1" s="842"/>
      <c r="SKG1" s="842"/>
      <c r="SKH1" s="842"/>
      <c r="SKI1" s="842"/>
      <c r="SKJ1" s="842"/>
      <c r="SKK1" s="842"/>
      <c r="SKL1" s="842"/>
      <c r="SKM1" s="842"/>
      <c r="SKN1" s="842"/>
      <c r="SKO1" s="842"/>
      <c r="SKP1" s="842"/>
      <c r="SKQ1" s="842"/>
      <c r="SKR1" s="842"/>
      <c r="SKS1" s="842"/>
      <c r="SKT1" s="842"/>
      <c r="SKU1" s="842"/>
      <c r="SKV1" s="842"/>
      <c r="SKW1" s="842"/>
      <c r="SKX1" s="842"/>
      <c r="SKY1" s="842"/>
      <c r="SKZ1" s="842"/>
      <c r="SLA1" s="842"/>
      <c r="SLB1" s="842"/>
      <c r="SLC1" s="842"/>
      <c r="SLD1" s="842"/>
      <c r="SLE1" s="842"/>
      <c r="SLF1" s="842"/>
      <c r="SLG1" s="842"/>
      <c r="SLH1" s="842"/>
      <c r="SLI1" s="842"/>
      <c r="SLJ1" s="842"/>
      <c r="SLK1" s="842"/>
      <c r="SLL1" s="842"/>
      <c r="SLM1" s="842"/>
      <c r="SLN1" s="842"/>
      <c r="SLO1" s="842"/>
      <c r="SLP1" s="842"/>
      <c r="SLQ1" s="842"/>
      <c r="SLR1" s="842"/>
      <c r="SLS1" s="842"/>
      <c r="SLT1" s="842"/>
      <c r="SLU1" s="842"/>
      <c r="SLV1" s="842"/>
      <c r="SLW1" s="842"/>
      <c r="SLX1" s="842"/>
      <c r="SLY1" s="842"/>
      <c r="SLZ1" s="842"/>
      <c r="SMA1" s="842"/>
      <c r="SMB1" s="842"/>
      <c r="SMC1" s="842"/>
      <c r="SMD1" s="842"/>
      <c r="SME1" s="842"/>
      <c r="SMF1" s="842"/>
      <c r="SMG1" s="842"/>
      <c r="SMH1" s="842"/>
      <c r="SMI1" s="842"/>
      <c r="SMJ1" s="842"/>
      <c r="SMK1" s="842"/>
      <c r="SML1" s="842"/>
      <c r="SMM1" s="842"/>
      <c r="SMN1" s="842"/>
      <c r="SMO1" s="842"/>
      <c r="SMP1" s="842"/>
      <c r="SMQ1" s="842"/>
      <c r="SMR1" s="842"/>
      <c r="SMS1" s="842"/>
      <c r="SMT1" s="842"/>
      <c r="SMU1" s="842"/>
      <c r="SMV1" s="842"/>
      <c r="SMW1" s="842"/>
      <c r="SMX1" s="842"/>
      <c r="SMY1" s="842"/>
      <c r="SMZ1" s="842"/>
      <c r="SNA1" s="842"/>
      <c r="SNB1" s="842"/>
      <c r="SNC1" s="842"/>
      <c r="SND1" s="842"/>
      <c r="SNE1" s="842"/>
      <c r="SNF1" s="842"/>
      <c r="SNG1" s="842"/>
      <c r="SNH1" s="842"/>
      <c r="SNI1" s="842"/>
      <c r="SNJ1" s="842"/>
      <c r="SNK1" s="842"/>
      <c r="SNL1" s="842"/>
      <c r="SNM1" s="842"/>
      <c r="SNN1" s="842"/>
      <c r="SNO1" s="842"/>
      <c r="SNP1" s="842"/>
      <c r="SNQ1" s="842"/>
      <c r="SNR1" s="842"/>
      <c r="SNS1" s="842"/>
      <c r="SNT1" s="842"/>
      <c r="SNU1" s="842"/>
      <c r="SNV1" s="842"/>
      <c r="SNW1" s="842"/>
      <c r="SNX1" s="842"/>
      <c r="SNY1" s="842"/>
      <c r="SNZ1" s="842"/>
      <c r="SOA1" s="842"/>
      <c r="SOB1" s="842"/>
      <c r="SOC1" s="842"/>
      <c r="SOD1" s="842"/>
      <c r="SOE1" s="842"/>
      <c r="SOF1" s="842"/>
      <c r="SOG1" s="842"/>
      <c r="SOH1" s="842"/>
      <c r="SOI1" s="842"/>
      <c r="SOJ1" s="842"/>
      <c r="SOK1" s="842"/>
      <c r="SOL1" s="842"/>
      <c r="SOM1" s="842"/>
      <c r="SON1" s="842"/>
      <c r="SOO1" s="842"/>
      <c r="SOP1" s="842"/>
      <c r="SOQ1" s="842"/>
      <c r="SOR1" s="842"/>
      <c r="SOS1" s="842"/>
      <c r="SOT1" s="842"/>
      <c r="SOU1" s="842"/>
      <c r="SOV1" s="842"/>
      <c r="SOW1" s="842"/>
      <c r="SOX1" s="842"/>
      <c r="SOY1" s="842"/>
      <c r="SOZ1" s="842"/>
      <c r="SPA1" s="842"/>
      <c r="SPB1" s="842"/>
      <c r="SPC1" s="842"/>
      <c r="SPD1" s="842"/>
      <c r="SPE1" s="842"/>
      <c r="SPF1" s="842"/>
      <c r="SPG1" s="842"/>
      <c r="SPH1" s="842"/>
      <c r="SPI1" s="842"/>
      <c r="SPJ1" s="842"/>
      <c r="SPK1" s="842"/>
      <c r="SPL1" s="842"/>
      <c r="SPM1" s="842"/>
      <c r="SPN1" s="842"/>
      <c r="SPO1" s="842"/>
      <c r="SPP1" s="842"/>
      <c r="SPQ1" s="842"/>
      <c r="SPR1" s="842"/>
      <c r="SPS1" s="842"/>
      <c r="SPT1" s="842"/>
      <c r="SPU1" s="842"/>
      <c r="SPV1" s="842"/>
      <c r="SPW1" s="842"/>
      <c r="SPX1" s="842"/>
      <c r="SPY1" s="842"/>
      <c r="SPZ1" s="842"/>
      <c r="SQA1" s="842"/>
      <c r="SQB1" s="842"/>
      <c r="SQC1" s="842"/>
      <c r="SQD1" s="842"/>
      <c r="SQE1" s="842"/>
      <c r="SQF1" s="842"/>
      <c r="SQG1" s="842"/>
      <c r="SQH1" s="842"/>
      <c r="SQI1" s="842"/>
      <c r="SQJ1" s="842"/>
      <c r="SQK1" s="842"/>
      <c r="SQL1" s="842"/>
      <c r="SQM1" s="842"/>
      <c r="SQN1" s="842"/>
      <c r="SQO1" s="842"/>
      <c r="SQP1" s="842"/>
      <c r="SQQ1" s="842"/>
      <c r="SQR1" s="842"/>
      <c r="SQS1" s="842"/>
      <c r="SQT1" s="842"/>
      <c r="SQU1" s="842"/>
      <c r="SQV1" s="842"/>
      <c r="SQW1" s="842"/>
      <c r="SQX1" s="842"/>
      <c r="SQY1" s="842"/>
      <c r="SQZ1" s="842"/>
      <c r="SRA1" s="842"/>
      <c r="SRB1" s="842"/>
      <c r="SRC1" s="842"/>
      <c r="SRD1" s="842"/>
      <c r="SRE1" s="842"/>
      <c r="SRF1" s="842"/>
      <c r="SRG1" s="842"/>
      <c r="SRH1" s="842"/>
      <c r="SRI1" s="842"/>
      <c r="SRJ1" s="842"/>
      <c r="SRK1" s="842"/>
      <c r="SRL1" s="842"/>
      <c r="SRM1" s="842"/>
      <c r="SRN1" s="842"/>
      <c r="SRO1" s="842"/>
      <c r="SRP1" s="842"/>
      <c r="SRQ1" s="842"/>
      <c r="SRR1" s="842"/>
      <c r="SRS1" s="842"/>
      <c r="SRT1" s="842"/>
      <c r="SRU1" s="842"/>
      <c r="SRV1" s="842"/>
      <c r="SRW1" s="842"/>
      <c r="SRX1" s="842"/>
      <c r="SRY1" s="842"/>
      <c r="SRZ1" s="842"/>
      <c r="SSA1" s="842"/>
      <c r="SSB1" s="842"/>
      <c r="SSC1" s="842"/>
      <c r="SSD1" s="842"/>
      <c r="SSE1" s="842"/>
      <c r="SSF1" s="842"/>
      <c r="SSG1" s="842"/>
      <c r="SSH1" s="842"/>
      <c r="SSI1" s="842"/>
      <c r="SSJ1" s="842"/>
      <c r="SSK1" s="842"/>
      <c r="SSL1" s="842"/>
      <c r="SSM1" s="842"/>
      <c r="SSN1" s="842"/>
      <c r="SSO1" s="842"/>
      <c r="SSP1" s="842"/>
      <c r="SSQ1" s="842"/>
      <c r="SSR1" s="842"/>
      <c r="SSS1" s="842"/>
      <c r="SST1" s="842"/>
      <c r="SSU1" s="842"/>
      <c r="SSV1" s="842"/>
      <c r="SSW1" s="842"/>
      <c r="SSX1" s="842"/>
      <c r="SSY1" s="842"/>
      <c r="SSZ1" s="842"/>
      <c r="STA1" s="842"/>
      <c r="STB1" s="842"/>
      <c r="STC1" s="842"/>
      <c r="STD1" s="842"/>
      <c r="STE1" s="842"/>
      <c r="STF1" s="842"/>
      <c r="STG1" s="842"/>
      <c r="STH1" s="842"/>
      <c r="STI1" s="842"/>
      <c r="STJ1" s="842"/>
      <c r="STK1" s="842"/>
      <c r="STL1" s="842"/>
      <c r="STM1" s="842"/>
      <c r="STN1" s="842"/>
      <c r="STO1" s="842"/>
      <c r="STP1" s="842"/>
      <c r="STQ1" s="842"/>
      <c r="STR1" s="842"/>
      <c r="STS1" s="842"/>
      <c r="STT1" s="842"/>
      <c r="STU1" s="842"/>
      <c r="STV1" s="842"/>
      <c r="STW1" s="842"/>
      <c r="STX1" s="842"/>
      <c r="STY1" s="842"/>
      <c r="STZ1" s="842"/>
      <c r="SUA1" s="842"/>
      <c r="SUB1" s="842"/>
      <c r="SUC1" s="842"/>
      <c r="SUD1" s="842"/>
      <c r="SUE1" s="842"/>
      <c r="SUF1" s="842"/>
      <c r="SUG1" s="842"/>
      <c r="SUH1" s="842"/>
      <c r="SUI1" s="842"/>
      <c r="SUJ1" s="842"/>
      <c r="SUK1" s="842"/>
      <c r="SUL1" s="842"/>
      <c r="SUM1" s="842"/>
      <c r="SUN1" s="842"/>
      <c r="SUO1" s="842"/>
      <c r="SUP1" s="842"/>
      <c r="SUQ1" s="842"/>
      <c r="SUR1" s="842"/>
      <c r="SUS1" s="842"/>
      <c r="SUT1" s="842"/>
      <c r="SUU1" s="842"/>
      <c r="SUV1" s="842"/>
      <c r="SUW1" s="842"/>
      <c r="SUX1" s="842"/>
      <c r="SUY1" s="842"/>
      <c r="SUZ1" s="842"/>
      <c r="SVA1" s="842"/>
      <c r="SVB1" s="842"/>
      <c r="SVC1" s="842"/>
      <c r="SVD1" s="842"/>
      <c r="SVE1" s="842"/>
      <c r="SVF1" s="842"/>
      <c r="SVG1" s="842"/>
      <c r="SVH1" s="842"/>
      <c r="SVI1" s="842"/>
      <c r="SVJ1" s="842"/>
      <c r="SVK1" s="842"/>
      <c r="SVL1" s="842"/>
      <c r="SVM1" s="842"/>
      <c r="SVN1" s="842"/>
      <c r="SVO1" s="842"/>
      <c r="SVP1" s="842"/>
      <c r="SVQ1" s="842"/>
      <c r="SVR1" s="842"/>
      <c r="SVS1" s="842"/>
      <c r="SVT1" s="842"/>
      <c r="SVU1" s="842"/>
      <c r="SVV1" s="842"/>
      <c r="SVW1" s="842"/>
      <c r="SVX1" s="842"/>
      <c r="SVY1" s="842"/>
      <c r="SVZ1" s="842"/>
      <c r="SWA1" s="842"/>
      <c r="SWB1" s="842"/>
      <c r="SWC1" s="842"/>
      <c r="SWD1" s="842"/>
      <c r="SWE1" s="842"/>
      <c r="SWF1" s="842"/>
      <c r="SWG1" s="842"/>
      <c r="SWH1" s="842"/>
      <c r="SWI1" s="842"/>
      <c r="SWJ1" s="842"/>
      <c r="SWK1" s="842"/>
      <c r="SWL1" s="842"/>
      <c r="SWM1" s="842"/>
      <c r="SWN1" s="842"/>
      <c r="SWO1" s="842"/>
      <c r="SWP1" s="842"/>
      <c r="SWQ1" s="842"/>
      <c r="SWR1" s="842"/>
      <c r="SWS1" s="842"/>
      <c r="SWT1" s="842"/>
      <c r="SWU1" s="842"/>
      <c r="SWV1" s="842"/>
      <c r="SWW1" s="842"/>
      <c r="SWX1" s="842"/>
      <c r="SWY1" s="842"/>
      <c r="SWZ1" s="842"/>
      <c r="SXA1" s="842"/>
      <c r="SXB1" s="842"/>
      <c r="SXC1" s="842"/>
      <c r="SXD1" s="842"/>
      <c r="SXE1" s="842"/>
      <c r="SXF1" s="842"/>
      <c r="SXG1" s="842"/>
      <c r="SXH1" s="842"/>
      <c r="SXI1" s="842"/>
      <c r="SXJ1" s="842"/>
      <c r="SXK1" s="842"/>
      <c r="SXL1" s="842"/>
      <c r="SXM1" s="842"/>
      <c r="SXN1" s="842"/>
      <c r="SXO1" s="842"/>
      <c r="SXP1" s="842"/>
      <c r="SXQ1" s="842"/>
      <c r="SXR1" s="842"/>
      <c r="SXS1" s="842"/>
      <c r="SXT1" s="842"/>
      <c r="SXU1" s="842"/>
      <c r="SXV1" s="842"/>
      <c r="SXW1" s="842"/>
      <c r="SXX1" s="842"/>
      <c r="SXY1" s="842"/>
      <c r="SXZ1" s="842"/>
      <c r="SYA1" s="842"/>
      <c r="SYB1" s="842"/>
      <c r="SYC1" s="842"/>
      <c r="SYD1" s="842"/>
      <c r="SYE1" s="842"/>
      <c r="SYF1" s="842"/>
      <c r="SYG1" s="842"/>
      <c r="SYH1" s="842"/>
      <c r="SYI1" s="842"/>
      <c r="SYJ1" s="842"/>
      <c r="SYK1" s="842"/>
      <c r="SYL1" s="842"/>
      <c r="SYM1" s="842"/>
      <c r="SYN1" s="842"/>
      <c r="SYO1" s="842"/>
      <c r="SYP1" s="842"/>
      <c r="SYQ1" s="842"/>
      <c r="SYR1" s="842"/>
      <c r="SYS1" s="842"/>
      <c r="SYT1" s="842"/>
      <c r="SYU1" s="842"/>
      <c r="SYV1" s="842"/>
      <c r="SYW1" s="842"/>
      <c r="SYX1" s="842"/>
      <c r="SYY1" s="842"/>
      <c r="SYZ1" s="842"/>
      <c r="SZA1" s="842"/>
      <c r="SZB1" s="842"/>
      <c r="SZC1" s="842"/>
      <c r="SZD1" s="842"/>
      <c r="SZE1" s="842"/>
      <c r="SZF1" s="842"/>
      <c r="SZG1" s="842"/>
      <c r="SZH1" s="842"/>
      <c r="SZI1" s="842"/>
      <c r="SZJ1" s="842"/>
      <c r="SZK1" s="842"/>
      <c r="SZL1" s="842"/>
      <c r="SZM1" s="842"/>
      <c r="SZN1" s="842"/>
      <c r="SZO1" s="842"/>
      <c r="SZP1" s="842"/>
      <c r="SZQ1" s="842"/>
      <c r="SZR1" s="842"/>
      <c r="SZS1" s="842"/>
      <c r="SZT1" s="842"/>
      <c r="SZU1" s="842"/>
      <c r="SZV1" s="842"/>
      <c r="SZW1" s="842"/>
      <c r="SZX1" s="842"/>
      <c r="SZY1" s="842"/>
      <c r="SZZ1" s="842"/>
      <c r="TAA1" s="842"/>
      <c r="TAB1" s="842"/>
      <c r="TAC1" s="842"/>
      <c r="TAD1" s="842"/>
      <c r="TAE1" s="842"/>
      <c r="TAF1" s="842"/>
      <c r="TAG1" s="842"/>
      <c r="TAH1" s="842"/>
      <c r="TAI1" s="842"/>
      <c r="TAJ1" s="842"/>
      <c r="TAK1" s="842"/>
      <c r="TAL1" s="842"/>
      <c r="TAM1" s="842"/>
      <c r="TAN1" s="842"/>
      <c r="TAO1" s="842"/>
      <c r="TAP1" s="842"/>
      <c r="TAQ1" s="842"/>
      <c r="TAR1" s="842"/>
      <c r="TAS1" s="842"/>
      <c r="TAT1" s="842"/>
      <c r="TAU1" s="842"/>
      <c r="TAV1" s="842"/>
      <c r="TAW1" s="842"/>
      <c r="TAX1" s="842"/>
      <c r="TAY1" s="842"/>
      <c r="TAZ1" s="842"/>
      <c r="TBA1" s="842"/>
      <c r="TBB1" s="842"/>
      <c r="TBC1" s="842"/>
      <c r="TBD1" s="842"/>
      <c r="TBE1" s="842"/>
      <c r="TBF1" s="842"/>
      <c r="TBG1" s="842"/>
      <c r="TBH1" s="842"/>
      <c r="TBI1" s="842"/>
      <c r="TBJ1" s="842"/>
      <c r="TBK1" s="842"/>
      <c r="TBL1" s="842"/>
      <c r="TBM1" s="842"/>
      <c r="TBN1" s="842"/>
      <c r="TBO1" s="842"/>
      <c r="TBP1" s="842"/>
      <c r="TBQ1" s="842"/>
      <c r="TBR1" s="842"/>
      <c r="TBS1" s="842"/>
      <c r="TBT1" s="842"/>
      <c r="TBU1" s="842"/>
      <c r="TBV1" s="842"/>
      <c r="TBW1" s="842"/>
      <c r="TBX1" s="842"/>
      <c r="TBY1" s="842"/>
      <c r="TBZ1" s="842"/>
      <c r="TCA1" s="842"/>
      <c r="TCB1" s="842"/>
      <c r="TCC1" s="842"/>
      <c r="TCD1" s="842"/>
      <c r="TCE1" s="842"/>
      <c r="TCF1" s="842"/>
      <c r="TCG1" s="842"/>
      <c r="TCH1" s="842"/>
      <c r="TCI1" s="842"/>
      <c r="TCJ1" s="842"/>
      <c r="TCK1" s="842"/>
      <c r="TCL1" s="842"/>
      <c r="TCM1" s="842"/>
      <c r="TCN1" s="842"/>
      <c r="TCO1" s="842"/>
      <c r="TCP1" s="842"/>
      <c r="TCQ1" s="842"/>
      <c r="TCR1" s="842"/>
      <c r="TCS1" s="842"/>
      <c r="TCT1" s="842"/>
      <c r="TCU1" s="842"/>
      <c r="TCV1" s="842"/>
      <c r="TCW1" s="842"/>
      <c r="TCX1" s="842"/>
      <c r="TCY1" s="842"/>
      <c r="TCZ1" s="842"/>
      <c r="TDA1" s="842"/>
      <c r="TDB1" s="842"/>
      <c r="TDC1" s="842"/>
      <c r="TDD1" s="842"/>
      <c r="TDE1" s="842"/>
      <c r="TDF1" s="842"/>
      <c r="TDG1" s="842"/>
      <c r="TDH1" s="842"/>
      <c r="TDI1" s="842"/>
      <c r="TDJ1" s="842"/>
      <c r="TDK1" s="842"/>
      <c r="TDL1" s="842"/>
      <c r="TDM1" s="842"/>
      <c r="TDN1" s="842"/>
      <c r="TDO1" s="842"/>
      <c r="TDP1" s="842"/>
      <c r="TDQ1" s="842"/>
      <c r="TDR1" s="842"/>
      <c r="TDS1" s="842"/>
      <c r="TDT1" s="842"/>
      <c r="TDU1" s="842"/>
      <c r="TDV1" s="842"/>
      <c r="TDW1" s="842"/>
      <c r="TDX1" s="842"/>
      <c r="TDY1" s="842"/>
      <c r="TDZ1" s="842"/>
      <c r="TEA1" s="842"/>
      <c r="TEB1" s="842"/>
      <c r="TEC1" s="842"/>
      <c r="TED1" s="842"/>
      <c r="TEE1" s="842"/>
      <c r="TEF1" s="842"/>
      <c r="TEG1" s="842"/>
      <c r="TEH1" s="842"/>
      <c r="TEI1" s="842"/>
      <c r="TEJ1" s="842"/>
      <c r="TEK1" s="842"/>
      <c r="TEL1" s="842"/>
      <c r="TEM1" s="842"/>
      <c r="TEN1" s="842"/>
      <c r="TEO1" s="842"/>
      <c r="TEP1" s="842"/>
      <c r="TEQ1" s="842"/>
      <c r="TER1" s="842"/>
      <c r="TES1" s="842"/>
      <c r="TET1" s="842"/>
      <c r="TEU1" s="842"/>
      <c r="TEV1" s="842"/>
      <c r="TEW1" s="842"/>
      <c r="TEX1" s="842"/>
      <c r="TEY1" s="842"/>
      <c r="TEZ1" s="842"/>
      <c r="TFA1" s="842"/>
      <c r="TFB1" s="842"/>
      <c r="TFC1" s="842"/>
      <c r="TFD1" s="842"/>
      <c r="TFE1" s="842"/>
      <c r="TFF1" s="842"/>
      <c r="TFG1" s="842"/>
      <c r="TFH1" s="842"/>
      <c r="TFI1" s="842"/>
      <c r="TFJ1" s="842"/>
      <c r="TFK1" s="842"/>
      <c r="TFL1" s="842"/>
      <c r="TFM1" s="842"/>
      <c r="TFN1" s="842"/>
      <c r="TFO1" s="842"/>
      <c r="TFP1" s="842"/>
      <c r="TFQ1" s="842"/>
      <c r="TFR1" s="842"/>
      <c r="TFS1" s="842"/>
      <c r="TFT1" s="842"/>
      <c r="TFU1" s="842"/>
      <c r="TFV1" s="842"/>
      <c r="TFW1" s="842"/>
      <c r="TFX1" s="842"/>
      <c r="TFY1" s="842"/>
      <c r="TFZ1" s="842"/>
      <c r="TGA1" s="842"/>
      <c r="TGB1" s="842"/>
      <c r="TGC1" s="842"/>
      <c r="TGD1" s="842"/>
      <c r="TGE1" s="842"/>
      <c r="TGF1" s="842"/>
      <c r="TGG1" s="842"/>
      <c r="TGH1" s="842"/>
      <c r="TGI1" s="842"/>
      <c r="TGJ1" s="842"/>
      <c r="TGK1" s="842"/>
      <c r="TGL1" s="842"/>
      <c r="TGM1" s="842"/>
      <c r="TGN1" s="842"/>
      <c r="TGO1" s="842"/>
      <c r="TGP1" s="842"/>
      <c r="TGQ1" s="842"/>
      <c r="TGR1" s="842"/>
      <c r="TGS1" s="842"/>
      <c r="TGT1" s="842"/>
      <c r="TGU1" s="842"/>
      <c r="TGV1" s="842"/>
      <c r="TGW1" s="842"/>
      <c r="TGX1" s="842"/>
      <c r="TGY1" s="842"/>
      <c r="TGZ1" s="842"/>
      <c r="THA1" s="842"/>
      <c r="THB1" s="842"/>
      <c r="THC1" s="842"/>
      <c r="THD1" s="842"/>
      <c r="THE1" s="842"/>
      <c r="THF1" s="842"/>
      <c r="THG1" s="842"/>
      <c r="THH1" s="842"/>
      <c r="THI1" s="842"/>
      <c r="THJ1" s="842"/>
      <c r="THK1" s="842"/>
      <c r="THL1" s="842"/>
      <c r="THM1" s="842"/>
      <c r="THN1" s="842"/>
      <c r="THO1" s="842"/>
      <c r="THP1" s="842"/>
      <c r="THQ1" s="842"/>
      <c r="THR1" s="842"/>
      <c r="THS1" s="842"/>
      <c r="THT1" s="842"/>
      <c r="THU1" s="842"/>
      <c r="THV1" s="842"/>
      <c r="THW1" s="842"/>
      <c r="THX1" s="842"/>
      <c r="THY1" s="842"/>
      <c r="THZ1" s="842"/>
      <c r="TIA1" s="842"/>
      <c r="TIB1" s="842"/>
      <c r="TIC1" s="842"/>
      <c r="TID1" s="842"/>
      <c r="TIE1" s="842"/>
      <c r="TIF1" s="842"/>
      <c r="TIG1" s="842"/>
      <c r="TIH1" s="842"/>
      <c r="TII1" s="842"/>
      <c r="TIJ1" s="842"/>
      <c r="TIK1" s="842"/>
      <c r="TIL1" s="842"/>
      <c r="TIM1" s="842"/>
      <c r="TIN1" s="842"/>
      <c r="TIO1" s="842"/>
      <c r="TIP1" s="842"/>
      <c r="TIQ1" s="842"/>
      <c r="TIR1" s="842"/>
      <c r="TIS1" s="842"/>
      <c r="TIT1" s="842"/>
      <c r="TIU1" s="842"/>
      <c r="TIV1" s="842"/>
      <c r="TIW1" s="842"/>
      <c r="TIX1" s="842"/>
      <c r="TIY1" s="842"/>
      <c r="TIZ1" s="842"/>
      <c r="TJA1" s="842"/>
      <c r="TJB1" s="842"/>
      <c r="TJC1" s="842"/>
      <c r="TJD1" s="842"/>
      <c r="TJE1" s="842"/>
      <c r="TJF1" s="842"/>
      <c r="TJG1" s="842"/>
      <c r="TJH1" s="842"/>
      <c r="TJI1" s="842"/>
      <c r="TJJ1" s="842"/>
      <c r="TJK1" s="842"/>
      <c r="TJL1" s="842"/>
      <c r="TJM1" s="842"/>
      <c r="TJN1" s="842"/>
      <c r="TJO1" s="842"/>
      <c r="TJP1" s="842"/>
      <c r="TJQ1" s="842"/>
      <c r="TJR1" s="842"/>
      <c r="TJS1" s="842"/>
      <c r="TJT1" s="842"/>
      <c r="TJU1" s="842"/>
      <c r="TJV1" s="842"/>
      <c r="TJW1" s="842"/>
      <c r="TJX1" s="842"/>
      <c r="TJY1" s="842"/>
      <c r="TJZ1" s="842"/>
      <c r="TKA1" s="842"/>
      <c r="TKB1" s="842"/>
      <c r="TKC1" s="842"/>
      <c r="TKD1" s="842"/>
      <c r="TKE1" s="842"/>
      <c r="TKF1" s="842"/>
      <c r="TKG1" s="842"/>
      <c r="TKH1" s="842"/>
      <c r="TKI1" s="842"/>
      <c r="TKJ1" s="842"/>
      <c r="TKK1" s="842"/>
      <c r="TKL1" s="842"/>
      <c r="TKM1" s="842"/>
      <c r="TKN1" s="842"/>
      <c r="TKO1" s="842"/>
      <c r="TKP1" s="842"/>
      <c r="TKQ1" s="842"/>
      <c r="TKR1" s="842"/>
      <c r="TKS1" s="842"/>
      <c r="TKT1" s="842"/>
      <c r="TKU1" s="842"/>
      <c r="TKV1" s="842"/>
      <c r="TKW1" s="842"/>
      <c r="TKX1" s="842"/>
      <c r="TKY1" s="842"/>
      <c r="TKZ1" s="842"/>
      <c r="TLA1" s="842"/>
      <c r="TLB1" s="842"/>
      <c r="TLC1" s="842"/>
      <c r="TLD1" s="842"/>
      <c r="TLE1" s="842"/>
      <c r="TLF1" s="842"/>
      <c r="TLG1" s="842"/>
      <c r="TLH1" s="842"/>
      <c r="TLI1" s="842"/>
      <c r="TLJ1" s="842"/>
      <c r="TLK1" s="842"/>
      <c r="TLL1" s="842"/>
      <c r="TLM1" s="842"/>
      <c r="TLN1" s="842"/>
      <c r="TLO1" s="842"/>
      <c r="TLP1" s="842"/>
      <c r="TLQ1" s="842"/>
      <c r="TLR1" s="842"/>
      <c r="TLS1" s="842"/>
      <c r="TLT1" s="842"/>
      <c r="TLU1" s="842"/>
      <c r="TLV1" s="842"/>
      <c r="TLW1" s="842"/>
      <c r="TLX1" s="842"/>
      <c r="TLY1" s="842"/>
      <c r="TLZ1" s="842"/>
      <c r="TMA1" s="842"/>
      <c r="TMB1" s="842"/>
      <c r="TMC1" s="842"/>
      <c r="TMD1" s="842"/>
      <c r="TME1" s="842"/>
      <c r="TMF1" s="842"/>
      <c r="TMG1" s="842"/>
      <c r="TMH1" s="842"/>
      <c r="TMI1" s="842"/>
      <c r="TMJ1" s="842"/>
      <c r="TMK1" s="842"/>
      <c r="TML1" s="842"/>
      <c r="TMM1" s="842"/>
      <c r="TMN1" s="842"/>
      <c r="TMO1" s="842"/>
      <c r="TMP1" s="842"/>
      <c r="TMQ1" s="842"/>
      <c r="TMR1" s="842"/>
      <c r="TMS1" s="842"/>
      <c r="TMT1" s="842"/>
      <c r="TMU1" s="842"/>
      <c r="TMV1" s="842"/>
      <c r="TMW1" s="842"/>
      <c r="TMX1" s="842"/>
      <c r="TMY1" s="842"/>
      <c r="TMZ1" s="842"/>
      <c r="TNA1" s="842"/>
      <c r="TNB1" s="842"/>
      <c r="TNC1" s="842"/>
      <c r="TND1" s="842"/>
      <c r="TNE1" s="842"/>
      <c r="TNF1" s="842"/>
      <c r="TNG1" s="842"/>
      <c r="TNH1" s="842"/>
      <c r="TNI1" s="842"/>
      <c r="TNJ1" s="842"/>
      <c r="TNK1" s="842"/>
      <c r="TNL1" s="842"/>
      <c r="TNM1" s="842"/>
      <c r="TNN1" s="842"/>
      <c r="TNO1" s="842"/>
      <c r="TNP1" s="842"/>
      <c r="TNQ1" s="842"/>
      <c r="TNR1" s="842"/>
      <c r="TNS1" s="842"/>
      <c r="TNT1" s="842"/>
      <c r="TNU1" s="842"/>
      <c r="TNV1" s="842"/>
      <c r="TNW1" s="842"/>
      <c r="TNX1" s="842"/>
      <c r="TNY1" s="842"/>
      <c r="TNZ1" s="842"/>
      <c r="TOA1" s="842"/>
      <c r="TOB1" s="842"/>
      <c r="TOC1" s="842"/>
      <c r="TOD1" s="842"/>
      <c r="TOE1" s="842"/>
      <c r="TOF1" s="842"/>
      <c r="TOG1" s="842"/>
      <c r="TOH1" s="842"/>
      <c r="TOI1" s="842"/>
      <c r="TOJ1" s="842"/>
      <c r="TOK1" s="842"/>
      <c r="TOL1" s="842"/>
      <c r="TOM1" s="842"/>
      <c r="TON1" s="842"/>
      <c r="TOO1" s="842"/>
      <c r="TOP1" s="842"/>
      <c r="TOQ1" s="842"/>
      <c r="TOR1" s="842"/>
      <c r="TOS1" s="842"/>
      <c r="TOT1" s="842"/>
      <c r="TOU1" s="842"/>
      <c r="TOV1" s="842"/>
      <c r="TOW1" s="842"/>
      <c r="TOX1" s="842"/>
      <c r="TOY1" s="842"/>
      <c r="TOZ1" s="842"/>
      <c r="TPA1" s="842"/>
      <c r="TPB1" s="842"/>
      <c r="TPC1" s="842"/>
      <c r="TPD1" s="842"/>
      <c r="TPE1" s="842"/>
      <c r="TPF1" s="842"/>
      <c r="TPG1" s="842"/>
      <c r="TPH1" s="842"/>
      <c r="TPI1" s="842"/>
      <c r="TPJ1" s="842"/>
      <c r="TPK1" s="842"/>
      <c r="TPL1" s="842"/>
      <c r="TPM1" s="842"/>
      <c r="TPN1" s="842"/>
      <c r="TPO1" s="842"/>
      <c r="TPP1" s="842"/>
      <c r="TPQ1" s="842"/>
      <c r="TPR1" s="842"/>
      <c r="TPS1" s="842"/>
      <c r="TPT1" s="842"/>
      <c r="TPU1" s="842"/>
      <c r="TPV1" s="842"/>
      <c r="TPW1" s="842"/>
      <c r="TPX1" s="842"/>
      <c r="TPY1" s="842"/>
      <c r="TPZ1" s="842"/>
      <c r="TQA1" s="842"/>
      <c r="TQB1" s="842"/>
      <c r="TQC1" s="842"/>
      <c r="TQD1" s="842"/>
      <c r="TQE1" s="842"/>
      <c r="TQF1" s="842"/>
      <c r="TQG1" s="842"/>
      <c r="TQH1" s="842"/>
      <c r="TQI1" s="842"/>
      <c r="TQJ1" s="842"/>
      <c r="TQK1" s="842"/>
      <c r="TQL1" s="842"/>
      <c r="TQM1" s="842"/>
      <c r="TQN1" s="842"/>
      <c r="TQO1" s="842"/>
      <c r="TQP1" s="842"/>
      <c r="TQQ1" s="842"/>
      <c r="TQR1" s="842"/>
      <c r="TQS1" s="842"/>
      <c r="TQT1" s="842"/>
      <c r="TQU1" s="842"/>
      <c r="TQV1" s="842"/>
      <c r="TQW1" s="842"/>
      <c r="TQX1" s="842"/>
      <c r="TQY1" s="842"/>
      <c r="TQZ1" s="842"/>
      <c r="TRA1" s="842"/>
      <c r="TRB1" s="842"/>
      <c r="TRC1" s="842"/>
      <c r="TRD1" s="842"/>
      <c r="TRE1" s="842"/>
      <c r="TRF1" s="842"/>
      <c r="TRG1" s="842"/>
      <c r="TRH1" s="842"/>
      <c r="TRI1" s="842"/>
      <c r="TRJ1" s="842"/>
      <c r="TRK1" s="842"/>
      <c r="TRL1" s="842"/>
      <c r="TRM1" s="842"/>
      <c r="TRN1" s="842"/>
      <c r="TRO1" s="842"/>
      <c r="TRP1" s="842"/>
      <c r="TRQ1" s="842"/>
      <c r="TRR1" s="842"/>
      <c r="TRS1" s="842"/>
      <c r="TRT1" s="842"/>
      <c r="TRU1" s="842"/>
      <c r="TRV1" s="842"/>
      <c r="TRW1" s="842"/>
      <c r="TRX1" s="842"/>
      <c r="TRY1" s="842"/>
      <c r="TRZ1" s="842"/>
      <c r="TSA1" s="842"/>
      <c r="TSB1" s="842"/>
      <c r="TSC1" s="842"/>
      <c r="TSD1" s="842"/>
      <c r="TSE1" s="842"/>
      <c r="TSF1" s="842"/>
      <c r="TSG1" s="842"/>
      <c r="TSH1" s="842"/>
      <c r="TSI1" s="842"/>
      <c r="TSJ1" s="842"/>
      <c r="TSK1" s="842"/>
      <c r="TSL1" s="842"/>
      <c r="TSM1" s="842"/>
      <c r="TSN1" s="842"/>
      <c r="TSO1" s="842"/>
      <c r="TSP1" s="842"/>
      <c r="TSQ1" s="842"/>
      <c r="TSR1" s="842"/>
      <c r="TSS1" s="842"/>
      <c r="TST1" s="842"/>
      <c r="TSU1" s="842"/>
      <c r="TSV1" s="842"/>
      <c r="TSW1" s="842"/>
      <c r="TSX1" s="842"/>
      <c r="TSY1" s="842"/>
      <c r="TSZ1" s="842"/>
      <c r="TTA1" s="842"/>
      <c r="TTB1" s="842"/>
      <c r="TTC1" s="842"/>
      <c r="TTD1" s="842"/>
      <c r="TTE1" s="842"/>
      <c r="TTF1" s="842"/>
      <c r="TTG1" s="842"/>
      <c r="TTH1" s="842"/>
      <c r="TTI1" s="842"/>
      <c r="TTJ1" s="842"/>
      <c r="TTK1" s="842"/>
      <c r="TTL1" s="842"/>
      <c r="TTM1" s="842"/>
      <c r="TTN1" s="842"/>
      <c r="TTO1" s="842"/>
      <c r="TTP1" s="842"/>
      <c r="TTQ1" s="842"/>
      <c r="TTR1" s="842"/>
      <c r="TTS1" s="842"/>
      <c r="TTT1" s="842"/>
      <c r="TTU1" s="842"/>
      <c r="TTV1" s="842"/>
      <c r="TTW1" s="842"/>
      <c r="TTX1" s="842"/>
      <c r="TTY1" s="842"/>
      <c r="TTZ1" s="842"/>
      <c r="TUA1" s="842"/>
      <c r="TUB1" s="842"/>
      <c r="TUC1" s="842"/>
      <c r="TUD1" s="842"/>
      <c r="TUE1" s="842"/>
      <c r="TUF1" s="842"/>
      <c r="TUG1" s="842"/>
      <c r="TUH1" s="842"/>
      <c r="TUI1" s="842"/>
      <c r="TUJ1" s="842"/>
      <c r="TUK1" s="842"/>
      <c r="TUL1" s="842"/>
      <c r="TUM1" s="842"/>
      <c r="TUN1" s="842"/>
      <c r="TUO1" s="842"/>
      <c r="TUP1" s="842"/>
      <c r="TUQ1" s="842"/>
      <c r="TUR1" s="842"/>
      <c r="TUS1" s="842"/>
      <c r="TUT1" s="842"/>
      <c r="TUU1" s="842"/>
      <c r="TUV1" s="842"/>
      <c r="TUW1" s="842"/>
      <c r="TUX1" s="842"/>
      <c r="TUY1" s="842"/>
      <c r="TUZ1" s="842"/>
      <c r="TVA1" s="842"/>
      <c r="TVB1" s="842"/>
      <c r="TVC1" s="842"/>
      <c r="TVD1" s="842"/>
      <c r="TVE1" s="842"/>
      <c r="TVF1" s="842"/>
      <c r="TVG1" s="842"/>
      <c r="TVH1" s="842"/>
      <c r="TVI1" s="842"/>
      <c r="TVJ1" s="842"/>
      <c r="TVK1" s="842"/>
      <c r="TVL1" s="842"/>
      <c r="TVM1" s="842"/>
      <c r="TVN1" s="842"/>
      <c r="TVO1" s="842"/>
      <c r="TVP1" s="842"/>
      <c r="TVQ1" s="842"/>
      <c r="TVR1" s="842"/>
      <c r="TVS1" s="842"/>
      <c r="TVT1" s="842"/>
      <c r="TVU1" s="842"/>
      <c r="TVV1" s="842"/>
      <c r="TVW1" s="842"/>
      <c r="TVX1" s="842"/>
      <c r="TVY1" s="842"/>
      <c r="TVZ1" s="842"/>
      <c r="TWA1" s="842"/>
      <c r="TWB1" s="842"/>
      <c r="TWC1" s="842"/>
      <c r="TWD1" s="842"/>
      <c r="TWE1" s="842"/>
      <c r="TWF1" s="842"/>
      <c r="TWG1" s="842"/>
      <c r="TWH1" s="842"/>
      <c r="TWI1" s="842"/>
      <c r="TWJ1" s="842"/>
      <c r="TWK1" s="842"/>
      <c r="TWL1" s="842"/>
      <c r="TWM1" s="842"/>
      <c r="TWN1" s="842"/>
      <c r="TWO1" s="842"/>
      <c r="TWP1" s="842"/>
      <c r="TWQ1" s="842"/>
      <c r="TWR1" s="842"/>
      <c r="TWS1" s="842"/>
      <c r="TWT1" s="842"/>
      <c r="TWU1" s="842"/>
      <c r="TWV1" s="842"/>
      <c r="TWW1" s="842"/>
      <c r="TWX1" s="842"/>
      <c r="TWY1" s="842"/>
      <c r="TWZ1" s="842"/>
      <c r="TXA1" s="842"/>
      <c r="TXB1" s="842"/>
      <c r="TXC1" s="842"/>
      <c r="TXD1" s="842"/>
      <c r="TXE1" s="842"/>
      <c r="TXF1" s="842"/>
      <c r="TXG1" s="842"/>
      <c r="TXH1" s="842"/>
      <c r="TXI1" s="842"/>
      <c r="TXJ1" s="842"/>
      <c r="TXK1" s="842"/>
      <c r="TXL1" s="842"/>
      <c r="TXM1" s="842"/>
      <c r="TXN1" s="842"/>
      <c r="TXO1" s="842"/>
      <c r="TXP1" s="842"/>
      <c r="TXQ1" s="842"/>
      <c r="TXR1" s="842"/>
      <c r="TXS1" s="842"/>
      <c r="TXT1" s="842"/>
      <c r="TXU1" s="842"/>
      <c r="TXV1" s="842"/>
      <c r="TXW1" s="842"/>
      <c r="TXX1" s="842"/>
      <c r="TXY1" s="842"/>
      <c r="TXZ1" s="842"/>
      <c r="TYA1" s="842"/>
      <c r="TYB1" s="842"/>
      <c r="TYC1" s="842"/>
      <c r="TYD1" s="842"/>
      <c r="TYE1" s="842"/>
      <c r="TYF1" s="842"/>
      <c r="TYG1" s="842"/>
      <c r="TYH1" s="842"/>
      <c r="TYI1" s="842"/>
      <c r="TYJ1" s="842"/>
      <c r="TYK1" s="842"/>
      <c r="TYL1" s="842"/>
      <c r="TYM1" s="842"/>
      <c r="TYN1" s="842"/>
      <c r="TYO1" s="842"/>
      <c r="TYP1" s="842"/>
      <c r="TYQ1" s="842"/>
      <c r="TYR1" s="842"/>
      <c r="TYS1" s="842"/>
      <c r="TYT1" s="842"/>
      <c r="TYU1" s="842"/>
      <c r="TYV1" s="842"/>
      <c r="TYW1" s="842"/>
      <c r="TYX1" s="842"/>
      <c r="TYY1" s="842"/>
      <c r="TYZ1" s="842"/>
      <c r="TZA1" s="842"/>
      <c r="TZB1" s="842"/>
      <c r="TZC1" s="842"/>
      <c r="TZD1" s="842"/>
      <c r="TZE1" s="842"/>
      <c r="TZF1" s="842"/>
      <c r="TZG1" s="842"/>
      <c r="TZH1" s="842"/>
      <c r="TZI1" s="842"/>
      <c r="TZJ1" s="842"/>
      <c r="TZK1" s="842"/>
      <c r="TZL1" s="842"/>
      <c r="TZM1" s="842"/>
      <c r="TZN1" s="842"/>
      <c r="TZO1" s="842"/>
      <c r="TZP1" s="842"/>
      <c r="TZQ1" s="842"/>
      <c r="TZR1" s="842"/>
      <c r="TZS1" s="842"/>
      <c r="TZT1" s="842"/>
      <c r="TZU1" s="842"/>
      <c r="TZV1" s="842"/>
      <c r="TZW1" s="842"/>
      <c r="TZX1" s="842"/>
      <c r="TZY1" s="842"/>
      <c r="TZZ1" s="842"/>
      <c r="UAA1" s="842"/>
      <c r="UAB1" s="842"/>
      <c r="UAC1" s="842"/>
      <c r="UAD1" s="842"/>
      <c r="UAE1" s="842"/>
      <c r="UAF1" s="842"/>
      <c r="UAG1" s="842"/>
      <c r="UAH1" s="842"/>
      <c r="UAI1" s="842"/>
      <c r="UAJ1" s="842"/>
      <c r="UAK1" s="842"/>
      <c r="UAL1" s="842"/>
      <c r="UAM1" s="842"/>
      <c r="UAN1" s="842"/>
      <c r="UAO1" s="842"/>
      <c r="UAP1" s="842"/>
      <c r="UAQ1" s="842"/>
      <c r="UAR1" s="842"/>
      <c r="UAS1" s="842"/>
      <c r="UAT1" s="842"/>
      <c r="UAU1" s="842"/>
      <c r="UAV1" s="842"/>
      <c r="UAW1" s="842"/>
      <c r="UAX1" s="842"/>
      <c r="UAY1" s="842"/>
      <c r="UAZ1" s="842"/>
      <c r="UBA1" s="842"/>
      <c r="UBB1" s="842"/>
      <c r="UBC1" s="842"/>
      <c r="UBD1" s="842"/>
      <c r="UBE1" s="842"/>
      <c r="UBF1" s="842"/>
      <c r="UBG1" s="842"/>
      <c r="UBH1" s="842"/>
      <c r="UBI1" s="842"/>
      <c r="UBJ1" s="842"/>
      <c r="UBK1" s="842"/>
      <c r="UBL1" s="842"/>
      <c r="UBM1" s="842"/>
      <c r="UBN1" s="842"/>
      <c r="UBO1" s="842"/>
      <c r="UBP1" s="842"/>
      <c r="UBQ1" s="842"/>
      <c r="UBR1" s="842"/>
      <c r="UBS1" s="842"/>
      <c r="UBT1" s="842"/>
      <c r="UBU1" s="842"/>
      <c r="UBV1" s="842"/>
      <c r="UBW1" s="842"/>
      <c r="UBX1" s="842"/>
      <c r="UBY1" s="842"/>
      <c r="UBZ1" s="842"/>
      <c r="UCA1" s="842"/>
      <c r="UCB1" s="842"/>
      <c r="UCC1" s="842"/>
      <c r="UCD1" s="842"/>
      <c r="UCE1" s="842"/>
      <c r="UCF1" s="842"/>
      <c r="UCG1" s="842"/>
      <c r="UCH1" s="842"/>
      <c r="UCI1" s="842"/>
      <c r="UCJ1" s="842"/>
      <c r="UCK1" s="842"/>
      <c r="UCL1" s="842"/>
      <c r="UCM1" s="842"/>
      <c r="UCN1" s="842"/>
      <c r="UCO1" s="842"/>
      <c r="UCP1" s="842"/>
      <c r="UCQ1" s="842"/>
      <c r="UCR1" s="842"/>
      <c r="UCS1" s="842"/>
      <c r="UCT1" s="842"/>
      <c r="UCU1" s="842"/>
      <c r="UCV1" s="842"/>
      <c r="UCW1" s="842"/>
      <c r="UCX1" s="842"/>
      <c r="UCY1" s="842"/>
      <c r="UCZ1" s="842"/>
      <c r="UDA1" s="842"/>
      <c r="UDB1" s="842"/>
      <c r="UDC1" s="842"/>
      <c r="UDD1" s="842"/>
      <c r="UDE1" s="842"/>
      <c r="UDF1" s="842"/>
      <c r="UDG1" s="842"/>
      <c r="UDH1" s="842"/>
      <c r="UDI1" s="842"/>
      <c r="UDJ1" s="842"/>
      <c r="UDK1" s="842"/>
      <c r="UDL1" s="842"/>
      <c r="UDM1" s="842"/>
      <c r="UDN1" s="842"/>
      <c r="UDO1" s="842"/>
      <c r="UDP1" s="842"/>
      <c r="UDQ1" s="842"/>
      <c r="UDR1" s="842"/>
      <c r="UDS1" s="842"/>
      <c r="UDT1" s="842"/>
      <c r="UDU1" s="842"/>
      <c r="UDV1" s="842"/>
      <c r="UDW1" s="842"/>
      <c r="UDX1" s="842"/>
      <c r="UDY1" s="842"/>
      <c r="UDZ1" s="842"/>
      <c r="UEA1" s="842"/>
      <c r="UEB1" s="842"/>
      <c r="UEC1" s="842"/>
      <c r="UED1" s="842"/>
      <c r="UEE1" s="842"/>
      <c r="UEF1" s="842"/>
      <c r="UEG1" s="842"/>
      <c r="UEH1" s="842"/>
      <c r="UEI1" s="842"/>
      <c r="UEJ1" s="842"/>
      <c r="UEK1" s="842"/>
      <c r="UEL1" s="842"/>
      <c r="UEM1" s="842"/>
      <c r="UEN1" s="842"/>
      <c r="UEO1" s="842"/>
      <c r="UEP1" s="842"/>
      <c r="UEQ1" s="842"/>
      <c r="UER1" s="842"/>
      <c r="UES1" s="842"/>
      <c r="UET1" s="842"/>
      <c r="UEU1" s="842"/>
      <c r="UEV1" s="842"/>
      <c r="UEW1" s="842"/>
      <c r="UEX1" s="842"/>
      <c r="UEY1" s="842"/>
      <c r="UEZ1" s="842"/>
      <c r="UFA1" s="842"/>
      <c r="UFB1" s="842"/>
      <c r="UFC1" s="842"/>
      <c r="UFD1" s="842"/>
      <c r="UFE1" s="842"/>
      <c r="UFF1" s="842"/>
      <c r="UFG1" s="842"/>
      <c r="UFH1" s="842"/>
      <c r="UFI1" s="842"/>
      <c r="UFJ1" s="842"/>
      <c r="UFK1" s="842"/>
      <c r="UFL1" s="842"/>
      <c r="UFM1" s="842"/>
      <c r="UFN1" s="842"/>
      <c r="UFO1" s="842"/>
      <c r="UFP1" s="842"/>
      <c r="UFQ1" s="842"/>
      <c r="UFR1" s="842"/>
      <c r="UFS1" s="842"/>
      <c r="UFT1" s="842"/>
      <c r="UFU1" s="842"/>
      <c r="UFV1" s="842"/>
      <c r="UFW1" s="842"/>
      <c r="UFX1" s="842"/>
      <c r="UFY1" s="842"/>
      <c r="UFZ1" s="842"/>
      <c r="UGA1" s="842"/>
      <c r="UGB1" s="842"/>
      <c r="UGC1" s="842"/>
      <c r="UGD1" s="842"/>
      <c r="UGE1" s="842"/>
      <c r="UGF1" s="842"/>
      <c r="UGG1" s="842"/>
      <c r="UGH1" s="842"/>
      <c r="UGI1" s="842"/>
      <c r="UGJ1" s="842"/>
      <c r="UGK1" s="842"/>
      <c r="UGL1" s="842"/>
      <c r="UGM1" s="842"/>
      <c r="UGN1" s="842"/>
      <c r="UGO1" s="842"/>
      <c r="UGP1" s="842"/>
      <c r="UGQ1" s="842"/>
      <c r="UGR1" s="842"/>
      <c r="UGS1" s="842"/>
      <c r="UGT1" s="842"/>
      <c r="UGU1" s="842"/>
      <c r="UGV1" s="842"/>
      <c r="UGW1" s="842"/>
      <c r="UGX1" s="842"/>
      <c r="UGY1" s="842"/>
      <c r="UGZ1" s="842"/>
      <c r="UHA1" s="842"/>
      <c r="UHB1" s="842"/>
      <c r="UHC1" s="842"/>
      <c r="UHD1" s="842"/>
      <c r="UHE1" s="842"/>
      <c r="UHF1" s="842"/>
      <c r="UHG1" s="842"/>
      <c r="UHH1" s="842"/>
      <c r="UHI1" s="842"/>
      <c r="UHJ1" s="842"/>
      <c r="UHK1" s="842"/>
      <c r="UHL1" s="842"/>
      <c r="UHM1" s="842"/>
      <c r="UHN1" s="842"/>
      <c r="UHO1" s="842"/>
      <c r="UHP1" s="842"/>
      <c r="UHQ1" s="842"/>
      <c r="UHR1" s="842"/>
      <c r="UHS1" s="842"/>
      <c r="UHT1" s="842"/>
      <c r="UHU1" s="842"/>
      <c r="UHV1" s="842"/>
      <c r="UHW1" s="842"/>
      <c r="UHX1" s="842"/>
      <c r="UHY1" s="842"/>
      <c r="UHZ1" s="842"/>
      <c r="UIA1" s="842"/>
      <c r="UIB1" s="842"/>
      <c r="UIC1" s="842"/>
      <c r="UID1" s="842"/>
      <c r="UIE1" s="842"/>
      <c r="UIF1" s="842"/>
      <c r="UIG1" s="842"/>
      <c r="UIH1" s="842"/>
      <c r="UII1" s="842"/>
      <c r="UIJ1" s="842"/>
      <c r="UIK1" s="842"/>
      <c r="UIL1" s="842"/>
      <c r="UIM1" s="842"/>
      <c r="UIN1" s="842"/>
      <c r="UIO1" s="842"/>
      <c r="UIP1" s="842"/>
      <c r="UIQ1" s="842"/>
      <c r="UIR1" s="842"/>
      <c r="UIS1" s="842"/>
      <c r="UIT1" s="842"/>
      <c r="UIU1" s="842"/>
      <c r="UIV1" s="842"/>
      <c r="UIW1" s="842"/>
      <c r="UIX1" s="842"/>
      <c r="UIY1" s="842"/>
      <c r="UIZ1" s="842"/>
      <c r="UJA1" s="842"/>
      <c r="UJB1" s="842"/>
      <c r="UJC1" s="842"/>
      <c r="UJD1" s="842"/>
      <c r="UJE1" s="842"/>
      <c r="UJF1" s="842"/>
      <c r="UJG1" s="842"/>
      <c r="UJH1" s="842"/>
      <c r="UJI1" s="842"/>
      <c r="UJJ1" s="842"/>
      <c r="UJK1" s="842"/>
      <c r="UJL1" s="842"/>
      <c r="UJM1" s="842"/>
      <c r="UJN1" s="842"/>
      <c r="UJO1" s="842"/>
      <c r="UJP1" s="842"/>
      <c r="UJQ1" s="842"/>
      <c r="UJR1" s="842"/>
      <c r="UJS1" s="842"/>
      <c r="UJT1" s="842"/>
      <c r="UJU1" s="842"/>
      <c r="UJV1" s="842"/>
      <c r="UJW1" s="842"/>
      <c r="UJX1" s="842"/>
      <c r="UJY1" s="842"/>
      <c r="UJZ1" s="842"/>
      <c r="UKA1" s="842"/>
      <c r="UKB1" s="842"/>
      <c r="UKC1" s="842"/>
      <c r="UKD1" s="842"/>
      <c r="UKE1" s="842"/>
      <c r="UKF1" s="842"/>
      <c r="UKG1" s="842"/>
      <c r="UKH1" s="842"/>
      <c r="UKI1" s="842"/>
      <c r="UKJ1" s="842"/>
      <c r="UKK1" s="842"/>
      <c r="UKL1" s="842"/>
      <c r="UKM1" s="842"/>
      <c r="UKN1" s="842"/>
      <c r="UKO1" s="842"/>
      <c r="UKP1" s="842"/>
      <c r="UKQ1" s="842"/>
      <c r="UKR1" s="842"/>
      <c r="UKS1" s="842"/>
      <c r="UKT1" s="842"/>
      <c r="UKU1" s="842"/>
      <c r="UKV1" s="842"/>
      <c r="UKW1" s="842"/>
      <c r="UKX1" s="842"/>
      <c r="UKY1" s="842"/>
      <c r="UKZ1" s="842"/>
      <c r="ULA1" s="842"/>
      <c r="ULB1" s="842"/>
      <c r="ULC1" s="842"/>
      <c r="ULD1" s="842"/>
      <c r="ULE1" s="842"/>
      <c r="ULF1" s="842"/>
      <c r="ULG1" s="842"/>
      <c r="ULH1" s="842"/>
      <c r="ULI1" s="842"/>
      <c r="ULJ1" s="842"/>
      <c r="ULK1" s="842"/>
      <c r="ULL1" s="842"/>
      <c r="ULM1" s="842"/>
      <c r="ULN1" s="842"/>
      <c r="ULO1" s="842"/>
      <c r="ULP1" s="842"/>
      <c r="ULQ1" s="842"/>
      <c r="ULR1" s="842"/>
      <c r="ULS1" s="842"/>
      <c r="ULT1" s="842"/>
      <c r="ULU1" s="842"/>
      <c r="ULV1" s="842"/>
      <c r="ULW1" s="842"/>
      <c r="ULX1" s="842"/>
      <c r="ULY1" s="842"/>
      <c r="ULZ1" s="842"/>
      <c r="UMA1" s="842"/>
      <c r="UMB1" s="842"/>
      <c r="UMC1" s="842"/>
      <c r="UMD1" s="842"/>
      <c r="UME1" s="842"/>
      <c r="UMF1" s="842"/>
      <c r="UMG1" s="842"/>
      <c r="UMH1" s="842"/>
      <c r="UMI1" s="842"/>
      <c r="UMJ1" s="842"/>
      <c r="UMK1" s="842"/>
      <c r="UML1" s="842"/>
      <c r="UMM1" s="842"/>
      <c r="UMN1" s="842"/>
      <c r="UMO1" s="842"/>
      <c r="UMP1" s="842"/>
      <c r="UMQ1" s="842"/>
      <c r="UMR1" s="842"/>
      <c r="UMS1" s="842"/>
      <c r="UMT1" s="842"/>
      <c r="UMU1" s="842"/>
      <c r="UMV1" s="842"/>
      <c r="UMW1" s="842"/>
      <c r="UMX1" s="842"/>
      <c r="UMY1" s="842"/>
      <c r="UMZ1" s="842"/>
      <c r="UNA1" s="842"/>
      <c r="UNB1" s="842"/>
      <c r="UNC1" s="842"/>
      <c r="UND1" s="842"/>
      <c r="UNE1" s="842"/>
      <c r="UNF1" s="842"/>
      <c r="UNG1" s="842"/>
      <c r="UNH1" s="842"/>
      <c r="UNI1" s="842"/>
      <c r="UNJ1" s="842"/>
      <c r="UNK1" s="842"/>
      <c r="UNL1" s="842"/>
      <c r="UNM1" s="842"/>
      <c r="UNN1" s="842"/>
      <c r="UNO1" s="842"/>
      <c r="UNP1" s="842"/>
      <c r="UNQ1" s="842"/>
      <c r="UNR1" s="842"/>
      <c r="UNS1" s="842"/>
      <c r="UNT1" s="842"/>
      <c r="UNU1" s="842"/>
      <c r="UNV1" s="842"/>
      <c r="UNW1" s="842"/>
      <c r="UNX1" s="842"/>
      <c r="UNY1" s="842"/>
      <c r="UNZ1" s="842"/>
      <c r="UOA1" s="842"/>
      <c r="UOB1" s="842"/>
      <c r="UOC1" s="842"/>
      <c r="UOD1" s="842"/>
      <c r="UOE1" s="842"/>
      <c r="UOF1" s="842"/>
      <c r="UOG1" s="842"/>
      <c r="UOH1" s="842"/>
      <c r="UOI1" s="842"/>
      <c r="UOJ1" s="842"/>
      <c r="UOK1" s="842"/>
      <c r="UOL1" s="842"/>
      <c r="UOM1" s="842"/>
      <c r="UON1" s="842"/>
      <c r="UOO1" s="842"/>
      <c r="UOP1" s="842"/>
      <c r="UOQ1" s="842"/>
      <c r="UOR1" s="842"/>
      <c r="UOS1" s="842"/>
      <c r="UOT1" s="842"/>
      <c r="UOU1" s="842"/>
      <c r="UOV1" s="842"/>
      <c r="UOW1" s="842"/>
      <c r="UOX1" s="842"/>
      <c r="UOY1" s="842"/>
      <c r="UOZ1" s="842"/>
      <c r="UPA1" s="842"/>
      <c r="UPB1" s="842"/>
      <c r="UPC1" s="842"/>
      <c r="UPD1" s="842"/>
      <c r="UPE1" s="842"/>
      <c r="UPF1" s="842"/>
      <c r="UPG1" s="842"/>
      <c r="UPH1" s="842"/>
      <c r="UPI1" s="842"/>
      <c r="UPJ1" s="842"/>
      <c r="UPK1" s="842"/>
      <c r="UPL1" s="842"/>
      <c r="UPM1" s="842"/>
      <c r="UPN1" s="842"/>
      <c r="UPO1" s="842"/>
      <c r="UPP1" s="842"/>
      <c r="UPQ1" s="842"/>
      <c r="UPR1" s="842"/>
      <c r="UPS1" s="842"/>
      <c r="UPT1" s="842"/>
      <c r="UPU1" s="842"/>
      <c r="UPV1" s="842"/>
      <c r="UPW1" s="842"/>
      <c r="UPX1" s="842"/>
      <c r="UPY1" s="842"/>
      <c r="UPZ1" s="842"/>
      <c r="UQA1" s="842"/>
      <c r="UQB1" s="842"/>
      <c r="UQC1" s="842"/>
      <c r="UQD1" s="842"/>
      <c r="UQE1" s="842"/>
      <c r="UQF1" s="842"/>
      <c r="UQG1" s="842"/>
      <c r="UQH1" s="842"/>
      <c r="UQI1" s="842"/>
      <c r="UQJ1" s="842"/>
      <c r="UQK1" s="842"/>
      <c r="UQL1" s="842"/>
      <c r="UQM1" s="842"/>
      <c r="UQN1" s="842"/>
      <c r="UQO1" s="842"/>
      <c r="UQP1" s="842"/>
      <c r="UQQ1" s="842"/>
      <c r="UQR1" s="842"/>
      <c r="UQS1" s="842"/>
      <c r="UQT1" s="842"/>
      <c r="UQU1" s="842"/>
      <c r="UQV1" s="842"/>
      <c r="UQW1" s="842"/>
      <c r="UQX1" s="842"/>
      <c r="UQY1" s="842"/>
      <c r="UQZ1" s="842"/>
      <c r="URA1" s="842"/>
      <c r="URB1" s="842"/>
      <c r="URC1" s="842"/>
      <c r="URD1" s="842"/>
      <c r="URE1" s="842"/>
      <c r="URF1" s="842"/>
      <c r="URG1" s="842"/>
      <c r="URH1" s="842"/>
      <c r="URI1" s="842"/>
      <c r="URJ1" s="842"/>
      <c r="URK1" s="842"/>
      <c r="URL1" s="842"/>
      <c r="URM1" s="842"/>
      <c r="URN1" s="842"/>
      <c r="URO1" s="842"/>
      <c r="URP1" s="842"/>
      <c r="URQ1" s="842"/>
      <c r="URR1" s="842"/>
      <c r="URS1" s="842"/>
      <c r="URT1" s="842"/>
      <c r="URU1" s="842"/>
      <c r="URV1" s="842"/>
      <c r="URW1" s="842"/>
      <c r="URX1" s="842"/>
      <c r="URY1" s="842"/>
      <c r="URZ1" s="842"/>
      <c r="USA1" s="842"/>
      <c r="USB1" s="842"/>
      <c r="USC1" s="842"/>
      <c r="USD1" s="842"/>
      <c r="USE1" s="842"/>
      <c r="USF1" s="842"/>
      <c r="USG1" s="842"/>
      <c r="USH1" s="842"/>
      <c r="USI1" s="842"/>
      <c r="USJ1" s="842"/>
      <c r="USK1" s="842"/>
      <c r="USL1" s="842"/>
      <c r="USM1" s="842"/>
      <c r="USN1" s="842"/>
      <c r="USO1" s="842"/>
      <c r="USP1" s="842"/>
      <c r="USQ1" s="842"/>
      <c r="USR1" s="842"/>
      <c r="USS1" s="842"/>
      <c r="UST1" s="842"/>
      <c r="USU1" s="842"/>
      <c r="USV1" s="842"/>
      <c r="USW1" s="842"/>
      <c r="USX1" s="842"/>
      <c r="USY1" s="842"/>
      <c r="USZ1" s="842"/>
      <c r="UTA1" s="842"/>
      <c r="UTB1" s="842"/>
      <c r="UTC1" s="842"/>
      <c r="UTD1" s="842"/>
      <c r="UTE1" s="842"/>
      <c r="UTF1" s="842"/>
      <c r="UTG1" s="842"/>
      <c r="UTH1" s="842"/>
      <c r="UTI1" s="842"/>
      <c r="UTJ1" s="842"/>
      <c r="UTK1" s="842"/>
      <c r="UTL1" s="842"/>
      <c r="UTM1" s="842"/>
      <c r="UTN1" s="842"/>
      <c r="UTO1" s="842"/>
      <c r="UTP1" s="842"/>
      <c r="UTQ1" s="842"/>
      <c r="UTR1" s="842"/>
      <c r="UTS1" s="842"/>
      <c r="UTT1" s="842"/>
      <c r="UTU1" s="842"/>
      <c r="UTV1" s="842"/>
      <c r="UTW1" s="842"/>
      <c r="UTX1" s="842"/>
      <c r="UTY1" s="842"/>
      <c r="UTZ1" s="842"/>
      <c r="UUA1" s="842"/>
      <c r="UUB1" s="842"/>
      <c r="UUC1" s="842"/>
      <c r="UUD1" s="842"/>
      <c r="UUE1" s="842"/>
      <c r="UUF1" s="842"/>
      <c r="UUG1" s="842"/>
      <c r="UUH1" s="842"/>
      <c r="UUI1" s="842"/>
      <c r="UUJ1" s="842"/>
      <c r="UUK1" s="842"/>
      <c r="UUL1" s="842"/>
      <c r="UUM1" s="842"/>
      <c r="UUN1" s="842"/>
      <c r="UUO1" s="842"/>
      <c r="UUP1" s="842"/>
      <c r="UUQ1" s="842"/>
      <c r="UUR1" s="842"/>
      <c r="UUS1" s="842"/>
      <c r="UUT1" s="842"/>
      <c r="UUU1" s="842"/>
      <c r="UUV1" s="842"/>
      <c r="UUW1" s="842"/>
      <c r="UUX1" s="842"/>
      <c r="UUY1" s="842"/>
      <c r="UUZ1" s="842"/>
      <c r="UVA1" s="842"/>
      <c r="UVB1" s="842"/>
      <c r="UVC1" s="842"/>
      <c r="UVD1" s="842"/>
      <c r="UVE1" s="842"/>
      <c r="UVF1" s="842"/>
      <c r="UVG1" s="842"/>
      <c r="UVH1" s="842"/>
      <c r="UVI1" s="842"/>
      <c r="UVJ1" s="842"/>
      <c r="UVK1" s="842"/>
      <c r="UVL1" s="842"/>
      <c r="UVM1" s="842"/>
      <c r="UVN1" s="842"/>
      <c r="UVO1" s="842"/>
      <c r="UVP1" s="842"/>
      <c r="UVQ1" s="842"/>
      <c r="UVR1" s="842"/>
      <c r="UVS1" s="842"/>
      <c r="UVT1" s="842"/>
      <c r="UVU1" s="842"/>
      <c r="UVV1" s="842"/>
      <c r="UVW1" s="842"/>
      <c r="UVX1" s="842"/>
      <c r="UVY1" s="842"/>
      <c r="UVZ1" s="842"/>
      <c r="UWA1" s="842"/>
      <c r="UWB1" s="842"/>
      <c r="UWC1" s="842"/>
      <c r="UWD1" s="842"/>
      <c r="UWE1" s="842"/>
      <c r="UWF1" s="842"/>
      <c r="UWG1" s="842"/>
      <c r="UWH1" s="842"/>
      <c r="UWI1" s="842"/>
      <c r="UWJ1" s="842"/>
      <c r="UWK1" s="842"/>
      <c r="UWL1" s="842"/>
      <c r="UWM1" s="842"/>
      <c r="UWN1" s="842"/>
      <c r="UWO1" s="842"/>
      <c r="UWP1" s="842"/>
      <c r="UWQ1" s="842"/>
      <c r="UWR1" s="842"/>
      <c r="UWS1" s="842"/>
      <c r="UWT1" s="842"/>
      <c r="UWU1" s="842"/>
      <c r="UWV1" s="842"/>
      <c r="UWW1" s="842"/>
      <c r="UWX1" s="842"/>
      <c r="UWY1" s="842"/>
      <c r="UWZ1" s="842"/>
      <c r="UXA1" s="842"/>
      <c r="UXB1" s="842"/>
      <c r="UXC1" s="842"/>
      <c r="UXD1" s="842"/>
      <c r="UXE1" s="842"/>
      <c r="UXF1" s="842"/>
      <c r="UXG1" s="842"/>
      <c r="UXH1" s="842"/>
      <c r="UXI1" s="842"/>
      <c r="UXJ1" s="842"/>
      <c r="UXK1" s="842"/>
      <c r="UXL1" s="842"/>
      <c r="UXM1" s="842"/>
      <c r="UXN1" s="842"/>
      <c r="UXO1" s="842"/>
      <c r="UXP1" s="842"/>
      <c r="UXQ1" s="842"/>
      <c r="UXR1" s="842"/>
      <c r="UXS1" s="842"/>
      <c r="UXT1" s="842"/>
      <c r="UXU1" s="842"/>
      <c r="UXV1" s="842"/>
      <c r="UXW1" s="842"/>
      <c r="UXX1" s="842"/>
      <c r="UXY1" s="842"/>
      <c r="UXZ1" s="842"/>
      <c r="UYA1" s="842"/>
      <c r="UYB1" s="842"/>
      <c r="UYC1" s="842"/>
      <c r="UYD1" s="842"/>
      <c r="UYE1" s="842"/>
      <c r="UYF1" s="842"/>
      <c r="UYG1" s="842"/>
      <c r="UYH1" s="842"/>
      <c r="UYI1" s="842"/>
      <c r="UYJ1" s="842"/>
      <c r="UYK1" s="842"/>
      <c r="UYL1" s="842"/>
      <c r="UYM1" s="842"/>
      <c r="UYN1" s="842"/>
      <c r="UYO1" s="842"/>
      <c r="UYP1" s="842"/>
      <c r="UYQ1" s="842"/>
      <c r="UYR1" s="842"/>
      <c r="UYS1" s="842"/>
      <c r="UYT1" s="842"/>
      <c r="UYU1" s="842"/>
      <c r="UYV1" s="842"/>
      <c r="UYW1" s="842"/>
      <c r="UYX1" s="842"/>
      <c r="UYY1" s="842"/>
      <c r="UYZ1" s="842"/>
      <c r="UZA1" s="842"/>
      <c r="UZB1" s="842"/>
      <c r="UZC1" s="842"/>
      <c r="UZD1" s="842"/>
      <c r="UZE1" s="842"/>
      <c r="UZF1" s="842"/>
      <c r="UZG1" s="842"/>
      <c r="UZH1" s="842"/>
      <c r="UZI1" s="842"/>
      <c r="UZJ1" s="842"/>
      <c r="UZK1" s="842"/>
      <c r="UZL1" s="842"/>
      <c r="UZM1" s="842"/>
      <c r="UZN1" s="842"/>
      <c r="UZO1" s="842"/>
      <c r="UZP1" s="842"/>
      <c r="UZQ1" s="842"/>
      <c r="UZR1" s="842"/>
      <c r="UZS1" s="842"/>
      <c r="UZT1" s="842"/>
      <c r="UZU1" s="842"/>
      <c r="UZV1" s="842"/>
      <c r="UZW1" s="842"/>
      <c r="UZX1" s="842"/>
      <c r="UZY1" s="842"/>
      <c r="UZZ1" s="842"/>
      <c r="VAA1" s="842"/>
      <c r="VAB1" s="842"/>
      <c r="VAC1" s="842"/>
      <c r="VAD1" s="842"/>
      <c r="VAE1" s="842"/>
      <c r="VAF1" s="842"/>
      <c r="VAG1" s="842"/>
      <c r="VAH1" s="842"/>
      <c r="VAI1" s="842"/>
      <c r="VAJ1" s="842"/>
      <c r="VAK1" s="842"/>
      <c r="VAL1" s="842"/>
      <c r="VAM1" s="842"/>
      <c r="VAN1" s="842"/>
      <c r="VAO1" s="842"/>
      <c r="VAP1" s="842"/>
      <c r="VAQ1" s="842"/>
      <c r="VAR1" s="842"/>
      <c r="VAS1" s="842"/>
      <c r="VAT1" s="842"/>
      <c r="VAU1" s="842"/>
      <c r="VAV1" s="842"/>
      <c r="VAW1" s="842"/>
      <c r="VAX1" s="842"/>
      <c r="VAY1" s="842"/>
      <c r="VAZ1" s="842"/>
      <c r="VBA1" s="842"/>
      <c r="VBB1" s="842"/>
      <c r="VBC1" s="842"/>
      <c r="VBD1" s="842"/>
      <c r="VBE1" s="842"/>
      <c r="VBF1" s="842"/>
      <c r="VBG1" s="842"/>
      <c r="VBH1" s="842"/>
      <c r="VBI1" s="842"/>
      <c r="VBJ1" s="842"/>
      <c r="VBK1" s="842"/>
      <c r="VBL1" s="842"/>
      <c r="VBM1" s="842"/>
      <c r="VBN1" s="842"/>
      <c r="VBO1" s="842"/>
      <c r="VBP1" s="842"/>
      <c r="VBQ1" s="842"/>
      <c r="VBR1" s="842"/>
      <c r="VBS1" s="842"/>
      <c r="VBT1" s="842"/>
      <c r="VBU1" s="842"/>
      <c r="VBV1" s="842"/>
      <c r="VBW1" s="842"/>
      <c r="VBX1" s="842"/>
      <c r="VBY1" s="842"/>
      <c r="VBZ1" s="842"/>
      <c r="VCA1" s="842"/>
      <c r="VCB1" s="842"/>
      <c r="VCC1" s="842"/>
      <c r="VCD1" s="842"/>
      <c r="VCE1" s="842"/>
      <c r="VCF1" s="842"/>
      <c r="VCG1" s="842"/>
      <c r="VCH1" s="842"/>
      <c r="VCI1" s="842"/>
      <c r="VCJ1" s="842"/>
      <c r="VCK1" s="842"/>
      <c r="VCL1" s="842"/>
      <c r="VCM1" s="842"/>
      <c r="VCN1" s="842"/>
      <c r="VCO1" s="842"/>
      <c r="VCP1" s="842"/>
      <c r="VCQ1" s="842"/>
      <c r="VCR1" s="842"/>
      <c r="VCS1" s="842"/>
      <c r="VCT1" s="842"/>
      <c r="VCU1" s="842"/>
      <c r="VCV1" s="842"/>
      <c r="VCW1" s="842"/>
      <c r="VCX1" s="842"/>
      <c r="VCY1" s="842"/>
      <c r="VCZ1" s="842"/>
      <c r="VDA1" s="842"/>
      <c r="VDB1" s="842"/>
      <c r="VDC1" s="842"/>
      <c r="VDD1" s="842"/>
      <c r="VDE1" s="842"/>
      <c r="VDF1" s="842"/>
      <c r="VDG1" s="842"/>
      <c r="VDH1" s="842"/>
      <c r="VDI1" s="842"/>
      <c r="VDJ1" s="842"/>
      <c r="VDK1" s="842"/>
      <c r="VDL1" s="842"/>
      <c r="VDM1" s="842"/>
      <c r="VDN1" s="842"/>
      <c r="VDO1" s="842"/>
      <c r="VDP1" s="842"/>
      <c r="VDQ1" s="842"/>
      <c r="VDR1" s="842"/>
      <c r="VDS1" s="842"/>
      <c r="VDT1" s="842"/>
      <c r="VDU1" s="842"/>
      <c r="VDV1" s="842"/>
      <c r="VDW1" s="842"/>
      <c r="VDX1" s="842"/>
      <c r="VDY1" s="842"/>
      <c r="VDZ1" s="842"/>
      <c r="VEA1" s="842"/>
      <c r="VEB1" s="842"/>
      <c r="VEC1" s="842"/>
      <c r="VED1" s="842"/>
      <c r="VEE1" s="842"/>
      <c r="VEF1" s="842"/>
      <c r="VEG1" s="842"/>
      <c r="VEH1" s="842"/>
      <c r="VEI1" s="842"/>
      <c r="VEJ1" s="842"/>
      <c r="VEK1" s="842"/>
      <c r="VEL1" s="842"/>
      <c r="VEM1" s="842"/>
      <c r="VEN1" s="842"/>
      <c r="VEO1" s="842"/>
      <c r="VEP1" s="842"/>
      <c r="VEQ1" s="842"/>
      <c r="VER1" s="842"/>
      <c r="VES1" s="842"/>
      <c r="VET1" s="842"/>
      <c r="VEU1" s="842"/>
      <c r="VEV1" s="842"/>
      <c r="VEW1" s="842"/>
      <c r="VEX1" s="842"/>
      <c r="VEY1" s="842"/>
      <c r="VEZ1" s="842"/>
      <c r="VFA1" s="842"/>
      <c r="VFB1" s="842"/>
      <c r="VFC1" s="842"/>
      <c r="VFD1" s="842"/>
      <c r="VFE1" s="842"/>
      <c r="VFF1" s="842"/>
      <c r="VFG1" s="842"/>
      <c r="VFH1" s="842"/>
      <c r="VFI1" s="842"/>
      <c r="VFJ1" s="842"/>
      <c r="VFK1" s="842"/>
      <c r="VFL1" s="842"/>
      <c r="VFM1" s="842"/>
      <c r="VFN1" s="842"/>
      <c r="VFO1" s="842"/>
      <c r="VFP1" s="842"/>
      <c r="VFQ1" s="842"/>
      <c r="VFR1" s="842"/>
      <c r="VFS1" s="842"/>
      <c r="VFT1" s="842"/>
      <c r="VFU1" s="842"/>
      <c r="VFV1" s="842"/>
      <c r="VFW1" s="842"/>
      <c r="VFX1" s="842"/>
      <c r="VFY1" s="842"/>
      <c r="VFZ1" s="842"/>
      <c r="VGA1" s="842"/>
      <c r="VGB1" s="842"/>
      <c r="VGC1" s="842"/>
      <c r="VGD1" s="842"/>
      <c r="VGE1" s="842"/>
      <c r="VGF1" s="842"/>
      <c r="VGG1" s="842"/>
      <c r="VGH1" s="842"/>
      <c r="VGI1" s="842"/>
      <c r="VGJ1" s="842"/>
      <c r="VGK1" s="842"/>
      <c r="VGL1" s="842"/>
      <c r="VGM1" s="842"/>
      <c r="VGN1" s="842"/>
      <c r="VGO1" s="842"/>
      <c r="VGP1" s="842"/>
      <c r="VGQ1" s="842"/>
      <c r="VGR1" s="842"/>
      <c r="VGS1" s="842"/>
      <c r="VGT1" s="842"/>
      <c r="VGU1" s="842"/>
      <c r="VGV1" s="842"/>
      <c r="VGW1" s="842"/>
      <c r="VGX1" s="842"/>
      <c r="VGY1" s="842"/>
      <c r="VGZ1" s="842"/>
      <c r="VHA1" s="842"/>
      <c r="VHB1" s="842"/>
      <c r="VHC1" s="842"/>
      <c r="VHD1" s="842"/>
      <c r="VHE1" s="842"/>
      <c r="VHF1" s="842"/>
      <c r="VHG1" s="842"/>
      <c r="VHH1" s="842"/>
      <c r="VHI1" s="842"/>
      <c r="VHJ1" s="842"/>
      <c r="VHK1" s="842"/>
      <c r="VHL1" s="842"/>
      <c r="VHM1" s="842"/>
      <c r="VHN1" s="842"/>
      <c r="VHO1" s="842"/>
      <c r="VHP1" s="842"/>
      <c r="VHQ1" s="842"/>
      <c r="VHR1" s="842"/>
      <c r="VHS1" s="842"/>
      <c r="VHT1" s="842"/>
      <c r="VHU1" s="842"/>
      <c r="VHV1" s="842"/>
      <c r="VHW1" s="842"/>
      <c r="VHX1" s="842"/>
      <c r="VHY1" s="842"/>
      <c r="VHZ1" s="842"/>
      <c r="VIA1" s="842"/>
      <c r="VIB1" s="842"/>
      <c r="VIC1" s="842"/>
      <c r="VID1" s="842"/>
      <c r="VIE1" s="842"/>
      <c r="VIF1" s="842"/>
      <c r="VIG1" s="842"/>
      <c r="VIH1" s="842"/>
      <c r="VII1" s="842"/>
      <c r="VIJ1" s="842"/>
      <c r="VIK1" s="842"/>
      <c r="VIL1" s="842"/>
      <c r="VIM1" s="842"/>
      <c r="VIN1" s="842"/>
      <c r="VIO1" s="842"/>
      <c r="VIP1" s="842"/>
      <c r="VIQ1" s="842"/>
      <c r="VIR1" s="842"/>
      <c r="VIS1" s="842"/>
      <c r="VIT1" s="842"/>
      <c r="VIU1" s="842"/>
      <c r="VIV1" s="842"/>
      <c r="VIW1" s="842"/>
      <c r="VIX1" s="842"/>
      <c r="VIY1" s="842"/>
      <c r="VIZ1" s="842"/>
      <c r="VJA1" s="842"/>
      <c r="VJB1" s="842"/>
      <c r="VJC1" s="842"/>
      <c r="VJD1" s="842"/>
      <c r="VJE1" s="842"/>
      <c r="VJF1" s="842"/>
      <c r="VJG1" s="842"/>
      <c r="VJH1" s="842"/>
      <c r="VJI1" s="842"/>
      <c r="VJJ1" s="842"/>
      <c r="VJK1" s="842"/>
      <c r="VJL1" s="842"/>
      <c r="VJM1" s="842"/>
      <c r="VJN1" s="842"/>
      <c r="VJO1" s="842"/>
      <c r="VJP1" s="842"/>
      <c r="VJQ1" s="842"/>
      <c r="VJR1" s="842"/>
      <c r="VJS1" s="842"/>
      <c r="VJT1" s="842"/>
      <c r="VJU1" s="842"/>
      <c r="VJV1" s="842"/>
      <c r="VJW1" s="842"/>
      <c r="VJX1" s="842"/>
      <c r="VJY1" s="842"/>
      <c r="VJZ1" s="842"/>
      <c r="VKA1" s="842"/>
      <c r="VKB1" s="842"/>
      <c r="VKC1" s="842"/>
      <c r="VKD1" s="842"/>
      <c r="VKE1" s="842"/>
      <c r="VKF1" s="842"/>
      <c r="VKG1" s="842"/>
      <c r="VKH1" s="842"/>
      <c r="VKI1" s="842"/>
      <c r="VKJ1" s="842"/>
      <c r="VKK1" s="842"/>
      <c r="VKL1" s="842"/>
      <c r="VKM1" s="842"/>
      <c r="VKN1" s="842"/>
      <c r="VKO1" s="842"/>
      <c r="VKP1" s="842"/>
      <c r="VKQ1" s="842"/>
      <c r="VKR1" s="842"/>
      <c r="VKS1" s="842"/>
      <c r="VKT1" s="842"/>
      <c r="VKU1" s="842"/>
      <c r="VKV1" s="842"/>
      <c r="VKW1" s="842"/>
      <c r="VKX1" s="842"/>
      <c r="VKY1" s="842"/>
      <c r="VKZ1" s="842"/>
      <c r="VLA1" s="842"/>
      <c r="VLB1" s="842"/>
      <c r="VLC1" s="842"/>
      <c r="VLD1" s="842"/>
      <c r="VLE1" s="842"/>
      <c r="VLF1" s="842"/>
      <c r="VLG1" s="842"/>
      <c r="VLH1" s="842"/>
      <c r="VLI1" s="842"/>
      <c r="VLJ1" s="842"/>
      <c r="VLK1" s="842"/>
      <c r="VLL1" s="842"/>
      <c r="VLM1" s="842"/>
      <c r="VLN1" s="842"/>
      <c r="VLO1" s="842"/>
      <c r="VLP1" s="842"/>
      <c r="VLQ1" s="842"/>
      <c r="VLR1" s="842"/>
      <c r="VLS1" s="842"/>
      <c r="VLT1" s="842"/>
      <c r="VLU1" s="842"/>
      <c r="VLV1" s="842"/>
      <c r="VLW1" s="842"/>
      <c r="VLX1" s="842"/>
      <c r="VLY1" s="842"/>
      <c r="VLZ1" s="842"/>
      <c r="VMA1" s="842"/>
      <c r="VMB1" s="842"/>
      <c r="VMC1" s="842"/>
      <c r="VMD1" s="842"/>
      <c r="VME1" s="842"/>
      <c r="VMF1" s="842"/>
      <c r="VMG1" s="842"/>
      <c r="VMH1" s="842"/>
      <c r="VMI1" s="842"/>
      <c r="VMJ1" s="842"/>
      <c r="VMK1" s="842"/>
      <c r="VML1" s="842"/>
      <c r="VMM1" s="842"/>
      <c r="VMN1" s="842"/>
      <c r="VMO1" s="842"/>
      <c r="VMP1" s="842"/>
      <c r="VMQ1" s="842"/>
      <c r="VMR1" s="842"/>
      <c r="VMS1" s="842"/>
      <c r="VMT1" s="842"/>
      <c r="VMU1" s="842"/>
      <c r="VMV1" s="842"/>
      <c r="VMW1" s="842"/>
      <c r="VMX1" s="842"/>
      <c r="VMY1" s="842"/>
      <c r="VMZ1" s="842"/>
      <c r="VNA1" s="842"/>
      <c r="VNB1" s="842"/>
      <c r="VNC1" s="842"/>
      <c r="VND1" s="842"/>
      <c r="VNE1" s="842"/>
      <c r="VNF1" s="842"/>
      <c r="VNG1" s="842"/>
      <c r="VNH1" s="842"/>
      <c r="VNI1" s="842"/>
      <c r="VNJ1" s="842"/>
      <c r="VNK1" s="842"/>
      <c r="VNL1" s="842"/>
      <c r="VNM1" s="842"/>
      <c r="VNN1" s="842"/>
      <c r="VNO1" s="842"/>
      <c r="VNP1" s="842"/>
      <c r="VNQ1" s="842"/>
      <c r="VNR1" s="842"/>
      <c r="VNS1" s="842"/>
      <c r="VNT1" s="842"/>
      <c r="VNU1" s="842"/>
      <c r="VNV1" s="842"/>
      <c r="VNW1" s="842"/>
      <c r="VNX1" s="842"/>
      <c r="VNY1" s="842"/>
      <c r="VNZ1" s="842"/>
      <c r="VOA1" s="842"/>
      <c r="VOB1" s="842"/>
      <c r="VOC1" s="842"/>
      <c r="VOD1" s="842"/>
      <c r="VOE1" s="842"/>
      <c r="VOF1" s="842"/>
      <c r="VOG1" s="842"/>
      <c r="VOH1" s="842"/>
      <c r="VOI1" s="842"/>
      <c r="VOJ1" s="842"/>
      <c r="VOK1" s="842"/>
      <c r="VOL1" s="842"/>
      <c r="VOM1" s="842"/>
      <c r="VON1" s="842"/>
      <c r="VOO1" s="842"/>
      <c r="VOP1" s="842"/>
      <c r="VOQ1" s="842"/>
      <c r="VOR1" s="842"/>
      <c r="VOS1" s="842"/>
      <c r="VOT1" s="842"/>
      <c r="VOU1" s="842"/>
      <c r="VOV1" s="842"/>
      <c r="VOW1" s="842"/>
      <c r="VOX1" s="842"/>
      <c r="VOY1" s="842"/>
      <c r="VOZ1" s="842"/>
      <c r="VPA1" s="842"/>
      <c r="VPB1" s="842"/>
      <c r="VPC1" s="842"/>
      <c r="VPD1" s="842"/>
      <c r="VPE1" s="842"/>
      <c r="VPF1" s="842"/>
      <c r="VPG1" s="842"/>
      <c r="VPH1" s="842"/>
      <c r="VPI1" s="842"/>
      <c r="VPJ1" s="842"/>
      <c r="VPK1" s="842"/>
      <c r="VPL1" s="842"/>
      <c r="VPM1" s="842"/>
      <c r="VPN1" s="842"/>
      <c r="VPO1" s="842"/>
      <c r="VPP1" s="842"/>
      <c r="VPQ1" s="842"/>
      <c r="VPR1" s="842"/>
      <c r="VPS1" s="842"/>
      <c r="VPT1" s="842"/>
      <c r="VPU1" s="842"/>
      <c r="VPV1" s="842"/>
      <c r="VPW1" s="842"/>
      <c r="VPX1" s="842"/>
      <c r="VPY1" s="842"/>
      <c r="VPZ1" s="842"/>
      <c r="VQA1" s="842"/>
      <c r="VQB1" s="842"/>
      <c r="VQC1" s="842"/>
      <c r="VQD1" s="842"/>
      <c r="VQE1" s="842"/>
      <c r="VQF1" s="842"/>
      <c r="VQG1" s="842"/>
      <c r="VQH1" s="842"/>
      <c r="VQI1" s="842"/>
      <c r="VQJ1" s="842"/>
      <c r="VQK1" s="842"/>
      <c r="VQL1" s="842"/>
      <c r="VQM1" s="842"/>
      <c r="VQN1" s="842"/>
      <c r="VQO1" s="842"/>
      <c r="VQP1" s="842"/>
      <c r="VQQ1" s="842"/>
      <c r="VQR1" s="842"/>
      <c r="VQS1" s="842"/>
      <c r="VQT1" s="842"/>
      <c r="VQU1" s="842"/>
      <c r="VQV1" s="842"/>
      <c r="VQW1" s="842"/>
      <c r="VQX1" s="842"/>
      <c r="VQY1" s="842"/>
      <c r="VQZ1" s="842"/>
      <c r="VRA1" s="842"/>
      <c r="VRB1" s="842"/>
      <c r="VRC1" s="842"/>
      <c r="VRD1" s="842"/>
      <c r="VRE1" s="842"/>
      <c r="VRF1" s="842"/>
      <c r="VRG1" s="842"/>
      <c r="VRH1" s="842"/>
      <c r="VRI1" s="842"/>
      <c r="VRJ1" s="842"/>
      <c r="VRK1" s="842"/>
      <c r="VRL1" s="842"/>
      <c r="VRM1" s="842"/>
      <c r="VRN1" s="842"/>
      <c r="VRO1" s="842"/>
      <c r="VRP1" s="842"/>
      <c r="VRQ1" s="842"/>
      <c r="VRR1" s="842"/>
      <c r="VRS1" s="842"/>
      <c r="VRT1" s="842"/>
      <c r="VRU1" s="842"/>
      <c r="VRV1" s="842"/>
      <c r="VRW1" s="842"/>
      <c r="VRX1" s="842"/>
      <c r="VRY1" s="842"/>
      <c r="VRZ1" s="842"/>
      <c r="VSA1" s="842"/>
      <c r="VSB1" s="842"/>
      <c r="VSC1" s="842"/>
      <c r="VSD1" s="842"/>
      <c r="VSE1" s="842"/>
      <c r="VSF1" s="842"/>
      <c r="VSG1" s="842"/>
      <c r="VSH1" s="842"/>
      <c r="VSI1" s="842"/>
      <c r="VSJ1" s="842"/>
      <c r="VSK1" s="842"/>
      <c r="VSL1" s="842"/>
      <c r="VSM1" s="842"/>
      <c r="VSN1" s="842"/>
      <c r="VSO1" s="842"/>
      <c r="VSP1" s="842"/>
      <c r="VSQ1" s="842"/>
      <c r="VSR1" s="842"/>
      <c r="VSS1" s="842"/>
      <c r="VST1" s="842"/>
      <c r="VSU1" s="842"/>
      <c r="VSV1" s="842"/>
      <c r="VSW1" s="842"/>
      <c r="VSX1" s="842"/>
      <c r="VSY1" s="842"/>
      <c r="VSZ1" s="842"/>
      <c r="VTA1" s="842"/>
      <c r="VTB1" s="842"/>
      <c r="VTC1" s="842"/>
      <c r="VTD1" s="842"/>
      <c r="VTE1" s="842"/>
      <c r="VTF1" s="842"/>
      <c r="VTG1" s="842"/>
      <c r="VTH1" s="842"/>
      <c r="VTI1" s="842"/>
      <c r="VTJ1" s="842"/>
      <c r="VTK1" s="842"/>
      <c r="VTL1" s="842"/>
      <c r="VTM1" s="842"/>
      <c r="VTN1" s="842"/>
      <c r="VTO1" s="842"/>
      <c r="VTP1" s="842"/>
      <c r="VTQ1" s="842"/>
      <c r="VTR1" s="842"/>
      <c r="VTS1" s="842"/>
      <c r="VTT1" s="842"/>
      <c r="VTU1" s="842"/>
      <c r="VTV1" s="842"/>
      <c r="VTW1" s="842"/>
      <c r="VTX1" s="842"/>
      <c r="VTY1" s="842"/>
      <c r="VTZ1" s="842"/>
      <c r="VUA1" s="842"/>
      <c r="VUB1" s="842"/>
      <c r="VUC1" s="842"/>
      <c r="VUD1" s="842"/>
      <c r="VUE1" s="842"/>
      <c r="VUF1" s="842"/>
      <c r="VUG1" s="842"/>
      <c r="VUH1" s="842"/>
      <c r="VUI1" s="842"/>
      <c r="VUJ1" s="842"/>
      <c r="VUK1" s="842"/>
      <c r="VUL1" s="842"/>
      <c r="VUM1" s="842"/>
      <c r="VUN1" s="842"/>
      <c r="VUO1" s="842"/>
      <c r="VUP1" s="842"/>
      <c r="VUQ1" s="842"/>
      <c r="VUR1" s="842"/>
      <c r="VUS1" s="842"/>
      <c r="VUT1" s="842"/>
      <c r="VUU1" s="842"/>
      <c r="VUV1" s="842"/>
      <c r="VUW1" s="842"/>
      <c r="VUX1" s="842"/>
      <c r="VUY1" s="842"/>
      <c r="VUZ1" s="842"/>
      <c r="VVA1" s="842"/>
      <c r="VVB1" s="842"/>
      <c r="VVC1" s="842"/>
      <c r="VVD1" s="842"/>
      <c r="VVE1" s="842"/>
      <c r="VVF1" s="842"/>
      <c r="VVG1" s="842"/>
      <c r="VVH1" s="842"/>
      <c r="VVI1" s="842"/>
      <c r="VVJ1" s="842"/>
      <c r="VVK1" s="842"/>
      <c r="VVL1" s="842"/>
      <c r="VVM1" s="842"/>
      <c r="VVN1" s="842"/>
      <c r="VVO1" s="842"/>
      <c r="VVP1" s="842"/>
      <c r="VVQ1" s="842"/>
      <c r="VVR1" s="842"/>
      <c r="VVS1" s="842"/>
      <c r="VVT1" s="842"/>
      <c r="VVU1" s="842"/>
      <c r="VVV1" s="842"/>
      <c r="VVW1" s="842"/>
      <c r="VVX1" s="842"/>
      <c r="VVY1" s="842"/>
      <c r="VVZ1" s="842"/>
      <c r="VWA1" s="842"/>
      <c r="VWB1" s="842"/>
      <c r="VWC1" s="842"/>
      <c r="VWD1" s="842"/>
      <c r="VWE1" s="842"/>
      <c r="VWF1" s="842"/>
      <c r="VWG1" s="842"/>
      <c r="VWH1" s="842"/>
      <c r="VWI1" s="842"/>
      <c r="VWJ1" s="842"/>
      <c r="VWK1" s="842"/>
      <c r="VWL1" s="842"/>
      <c r="VWM1" s="842"/>
      <c r="VWN1" s="842"/>
      <c r="VWO1" s="842"/>
      <c r="VWP1" s="842"/>
      <c r="VWQ1" s="842"/>
      <c r="VWR1" s="842"/>
      <c r="VWS1" s="842"/>
      <c r="VWT1" s="842"/>
      <c r="VWU1" s="842"/>
      <c r="VWV1" s="842"/>
      <c r="VWW1" s="842"/>
      <c r="VWX1" s="842"/>
      <c r="VWY1" s="842"/>
      <c r="VWZ1" s="842"/>
      <c r="VXA1" s="842"/>
      <c r="VXB1" s="842"/>
      <c r="VXC1" s="842"/>
      <c r="VXD1" s="842"/>
      <c r="VXE1" s="842"/>
      <c r="VXF1" s="842"/>
      <c r="VXG1" s="842"/>
      <c r="VXH1" s="842"/>
      <c r="VXI1" s="842"/>
      <c r="VXJ1" s="842"/>
      <c r="VXK1" s="842"/>
      <c r="VXL1" s="842"/>
      <c r="VXM1" s="842"/>
      <c r="VXN1" s="842"/>
      <c r="VXO1" s="842"/>
      <c r="VXP1" s="842"/>
      <c r="VXQ1" s="842"/>
      <c r="VXR1" s="842"/>
      <c r="VXS1" s="842"/>
      <c r="VXT1" s="842"/>
      <c r="VXU1" s="842"/>
      <c r="VXV1" s="842"/>
      <c r="VXW1" s="842"/>
      <c r="VXX1" s="842"/>
      <c r="VXY1" s="842"/>
      <c r="VXZ1" s="842"/>
      <c r="VYA1" s="842"/>
      <c r="VYB1" s="842"/>
      <c r="VYC1" s="842"/>
      <c r="VYD1" s="842"/>
      <c r="VYE1" s="842"/>
      <c r="VYF1" s="842"/>
      <c r="VYG1" s="842"/>
      <c r="VYH1" s="842"/>
      <c r="VYI1" s="842"/>
      <c r="VYJ1" s="842"/>
      <c r="VYK1" s="842"/>
      <c r="VYL1" s="842"/>
      <c r="VYM1" s="842"/>
      <c r="VYN1" s="842"/>
      <c r="VYO1" s="842"/>
      <c r="VYP1" s="842"/>
      <c r="VYQ1" s="842"/>
      <c r="VYR1" s="842"/>
      <c r="VYS1" s="842"/>
      <c r="VYT1" s="842"/>
      <c r="VYU1" s="842"/>
      <c r="VYV1" s="842"/>
      <c r="VYW1" s="842"/>
      <c r="VYX1" s="842"/>
      <c r="VYY1" s="842"/>
      <c r="VYZ1" s="842"/>
      <c r="VZA1" s="842"/>
      <c r="VZB1" s="842"/>
      <c r="VZC1" s="842"/>
      <c r="VZD1" s="842"/>
      <c r="VZE1" s="842"/>
      <c r="VZF1" s="842"/>
      <c r="VZG1" s="842"/>
      <c r="VZH1" s="842"/>
      <c r="VZI1" s="842"/>
      <c r="VZJ1" s="842"/>
      <c r="VZK1" s="842"/>
      <c r="VZL1" s="842"/>
      <c r="VZM1" s="842"/>
      <c r="VZN1" s="842"/>
      <c r="VZO1" s="842"/>
      <c r="VZP1" s="842"/>
      <c r="VZQ1" s="842"/>
      <c r="VZR1" s="842"/>
      <c r="VZS1" s="842"/>
      <c r="VZT1" s="842"/>
      <c r="VZU1" s="842"/>
      <c r="VZV1" s="842"/>
      <c r="VZW1" s="842"/>
      <c r="VZX1" s="842"/>
      <c r="VZY1" s="842"/>
      <c r="VZZ1" s="842"/>
      <c r="WAA1" s="842"/>
      <c r="WAB1" s="842"/>
      <c r="WAC1" s="842"/>
      <c r="WAD1" s="842"/>
      <c r="WAE1" s="842"/>
      <c r="WAF1" s="842"/>
      <c r="WAG1" s="842"/>
      <c r="WAH1" s="842"/>
      <c r="WAI1" s="842"/>
      <c r="WAJ1" s="842"/>
      <c r="WAK1" s="842"/>
      <c r="WAL1" s="842"/>
      <c r="WAM1" s="842"/>
      <c r="WAN1" s="842"/>
      <c r="WAO1" s="842"/>
      <c r="WAP1" s="842"/>
      <c r="WAQ1" s="842"/>
      <c r="WAR1" s="842"/>
      <c r="WAS1" s="842"/>
      <c r="WAT1" s="842"/>
      <c r="WAU1" s="842"/>
      <c r="WAV1" s="842"/>
      <c r="WAW1" s="842"/>
      <c r="WAX1" s="842"/>
      <c r="WAY1" s="842"/>
      <c r="WAZ1" s="842"/>
      <c r="WBA1" s="842"/>
      <c r="WBB1" s="842"/>
      <c r="WBC1" s="842"/>
      <c r="WBD1" s="842"/>
      <c r="WBE1" s="842"/>
      <c r="WBF1" s="842"/>
      <c r="WBG1" s="842"/>
      <c r="WBH1" s="842"/>
      <c r="WBI1" s="842"/>
      <c r="WBJ1" s="842"/>
      <c r="WBK1" s="842"/>
      <c r="WBL1" s="842"/>
      <c r="WBM1" s="842"/>
      <c r="WBN1" s="842"/>
      <c r="WBO1" s="842"/>
      <c r="WBP1" s="842"/>
      <c r="WBQ1" s="842"/>
      <c r="WBR1" s="842"/>
      <c r="WBS1" s="842"/>
      <c r="WBT1" s="842"/>
      <c r="WBU1" s="842"/>
      <c r="WBV1" s="842"/>
      <c r="WBW1" s="842"/>
      <c r="WBX1" s="842"/>
      <c r="WBY1" s="842"/>
      <c r="WBZ1" s="842"/>
      <c r="WCA1" s="842"/>
      <c r="WCB1" s="842"/>
      <c r="WCC1" s="842"/>
      <c r="WCD1" s="842"/>
      <c r="WCE1" s="842"/>
      <c r="WCF1" s="842"/>
      <c r="WCG1" s="842"/>
      <c r="WCH1" s="842"/>
      <c r="WCI1" s="842"/>
      <c r="WCJ1" s="842"/>
      <c r="WCK1" s="842"/>
      <c r="WCL1" s="842"/>
      <c r="WCM1" s="842"/>
      <c r="WCN1" s="842"/>
      <c r="WCO1" s="842"/>
      <c r="WCP1" s="842"/>
      <c r="WCQ1" s="842"/>
      <c r="WCR1" s="842"/>
      <c r="WCS1" s="842"/>
      <c r="WCT1" s="842"/>
      <c r="WCU1" s="842"/>
      <c r="WCV1" s="842"/>
      <c r="WCW1" s="842"/>
      <c r="WCX1" s="842"/>
      <c r="WCY1" s="842"/>
      <c r="WCZ1" s="842"/>
      <c r="WDA1" s="842"/>
      <c r="WDB1" s="842"/>
      <c r="WDC1" s="842"/>
      <c r="WDD1" s="842"/>
      <c r="WDE1" s="842"/>
      <c r="WDF1" s="842"/>
      <c r="WDG1" s="842"/>
      <c r="WDH1" s="842"/>
      <c r="WDI1" s="842"/>
      <c r="WDJ1" s="842"/>
      <c r="WDK1" s="842"/>
      <c r="WDL1" s="842"/>
      <c r="WDM1" s="842"/>
      <c r="WDN1" s="842"/>
      <c r="WDO1" s="842"/>
      <c r="WDP1" s="842"/>
      <c r="WDQ1" s="842"/>
      <c r="WDR1" s="842"/>
      <c r="WDS1" s="842"/>
      <c r="WDT1" s="842"/>
      <c r="WDU1" s="842"/>
      <c r="WDV1" s="842"/>
      <c r="WDW1" s="842"/>
      <c r="WDX1" s="842"/>
      <c r="WDY1" s="842"/>
      <c r="WDZ1" s="842"/>
      <c r="WEA1" s="842"/>
      <c r="WEB1" s="842"/>
      <c r="WEC1" s="842"/>
      <c r="WED1" s="842"/>
      <c r="WEE1" s="842"/>
      <c r="WEF1" s="842"/>
      <c r="WEG1" s="842"/>
      <c r="WEH1" s="842"/>
      <c r="WEI1" s="842"/>
      <c r="WEJ1" s="842"/>
      <c r="WEK1" s="842"/>
      <c r="WEL1" s="842"/>
      <c r="WEM1" s="842"/>
      <c r="WEN1" s="842"/>
      <c r="WEO1" s="842"/>
      <c r="WEP1" s="842"/>
      <c r="WEQ1" s="842"/>
      <c r="WER1" s="842"/>
      <c r="WES1" s="842"/>
      <c r="WET1" s="842"/>
      <c r="WEU1" s="842"/>
      <c r="WEV1" s="842"/>
      <c r="WEW1" s="842"/>
      <c r="WEX1" s="842"/>
      <c r="WEY1" s="842"/>
      <c r="WEZ1" s="842"/>
      <c r="WFA1" s="842"/>
      <c r="WFB1" s="842"/>
      <c r="WFC1" s="842"/>
      <c r="WFD1" s="842"/>
      <c r="WFE1" s="842"/>
      <c r="WFF1" s="842"/>
      <c r="WFG1" s="842"/>
      <c r="WFH1" s="842"/>
      <c r="WFI1" s="842"/>
      <c r="WFJ1" s="842"/>
      <c r="WFK1" s="842"/>
      <c r="WFL1" s="842"/>
      <c r="WFM1" s="842"/>
      <c r="WFN1" s="842"/>
      <c r="WFO1" s="842"/>
      <c r="WFP1" s="842"/>
      <c r="WFQ1" s="842"/>
      <c r="WFR1" s="842"/>
      <c r="WFS1" s="842"/>
      <c r="WFT1" s="842"/>
      <c r="WFU1" s="842"/>
      <c r="WFV1" s="842"/>
      <c r="WFW1" s="842"/>
      <c r="WFX1" s="842"/>
      <c r="WFY1" s="842"/>
      <c r="WFZ1" s="842"/>
      <c r="WGA1" s="842"/>
      <c r="WGB1" s="842"/>
      <c r="WGC1" s="842"/>
      <c r="WGD1" s="842"/>
      <c r="WGE1" s="842"/>
      <c r="WGF1" s="842"/>
      <c r="WGG1" s="842"/>
      <c r="WGH1" s="842"/>
      <c r="WGI1" s="842"/>
      <c r="WGJ1" s="842"/>
      <c r="WGK1" s="842"/>
      <c r="WGL1" s="842"/>
      <c r="WGM1" s="842"/>
      <c r="WGN1" s="842"/>
      <c r="WGO1" s="842"/>
      <c r="WGP1" s="842"/>
      <c r="WGQ1" s="842"/>
      <c r="WGR1" s="842"/>
      <c r="WGS1" s="842"/>
      <c r="WGT1" s="842"/>
      <c r="WGU1" s="842"/>
      <c r="WGV1" s="842"/>
      <c r="WGW1" s="842"/>
      <c r="WGX1" s="842"/>
      <c r="WGY1" s="842"/>
      <c r="WGZ1" s="842"/>
      <c r="WHA1" s="842"/>
      <c r="WHB1" s="842"/>
      <c r="WHC1" s="842"/>
      <c r="WHD1" s="842"/>
      <c r="WHE1" s="842"/>
      <c r="WHF1" s="842"/>
      <c r="WHG1" s="842"/>
      <c r="WHH1" s="842"/>
      <c r="WHI1" s="842"/>
      <c r="WHJ1" s="842"/>
      <c r="WHK1" s="842"/>
      <c r="WHL1" s="842"/>
      <c r="WHM1" s="842"/>
      <c r="WHN1" s="842"/>
      <c r="WHO1" s="842"/>
      <c r="WHP1" s="842"/>
      <c r="WHQ1" s="842"/>
      <c r="WHR1" s="842"/>
      <c r="WHS1" s="842"/>
      <c r="WHT1" s="842"/>
      <c r="WHU1" s="842"/>
      <c r="WHV1" s="842"/>
      <c r="WHW1" s="842"/>
      <c r="WHX1" s="842"/>
      <c r="WHY1" s="842"/>
      <c r="WHZ1" s="842"/>
      <c r="WIA1" s="842"/>
      <c r="WIB1" s="842"/>
      <c r="WIC1" s="842"/>
      <c r="WID1" s="842"/>
      <c r="WIE1" s="842"/>
      <c r="WIF1" s="842"/>
      <c r="WIG1" s="842"/>
      <c r="WIH1" s="842"/>
      <c r="WII1" s="842"/>
      <c r="WIJ1" s="842"/>
      <c r="WIK1" s="842"/>
      <c r="WIL1" s="842"/>
      <c r="WIM1" s="842"/>
      <c r="WIN1" s="842"/>
      <c r="WIO1" s="842"/>
      <c r="WIP1" s="842"/>
      <c r="WIQ1" s="842"/>
      <c r="WIR1" s="842"/>
      <c r="WIS1" s="842"/>
      <c r="WIT1" s="842"/>
      <c r="WIU1" s="842"/>
      <c r="WIV1" s="842"/>
      <c r="WIW1" s="842"/>
      <c r="WIX1" s="842"/>
      <c r="WIY1" s="842"/>
      <c r="WIZ1" s="842"/>
      <c r="WJA1" s="842"/>
      <c r="WJB1" s="842"/>
      <c r="WJC1" s="842"/>
      <c r="WJD1" s="842"/>
      <c r="WJE1" s="842"/>
      <c r="WJF1" s="842"/>
      <c r="WJG1" s="842"/>
      <c r="WJH1" s="842"/>
      <c r="WJI1" s="842"/>
      <c r="WJJ1" s="842"/>
      <c r="WJK1" s="842"/>
      <c r="WJL1" s="842"/>
      <c r="WJM1" s="842"/>
      <c r="WJN1" s="842"/>
      <c r="WJO1" s="842"/>
      <c r="WJP1" s="842"/>
      <c r="WJQ1" s="842"/>
      <c r="WJR1" s="842"/>
      <c r="WJS1" s="842"/>
      <c r="WJT1" s="842"/>
      <c r="WJU1" s="842"/>
      <c r="WJV1" s="842"/>
      <c r="WJW1" s="842"/>
      <c r="WJX1" s="842"/>
      <c r="WJY1" s="842"/>
      <c r="WJZ1" s="842"/>
      <c r="WKA1" s="842"/>
      <c r="WKB1" s="842"/>
      <c r="WKC1" s="842"/>
      <c r="WKD1" s="842"/>
      <c r="WKE1" s="842"/>
      <c r="WKF1" s="842"/>
      <c r="WKG1" s="842"/>
      <c r="WKH1" s="842"/>
      <c r="WKI1" s="842"/>
      <c r="WKJ1" s="842"/>
      <c r="WKK1" s="842"/>
      <c r="WKL1" s="842"/>
      <c r="WKM1" s="842"/>
      <c r="WKN1" s="842"/>
      <c r="WKO1" s="842"/>
      <c r="WKP1" s="842"/>
      <c r="WKQ1" s="842"/>
      <c r="WKR1" s="842"/>
      <c r="WKS1" s="842"/>
      <c r="WKT1" s="842"/>
      <c r="WKU1" s="842"/>
      <c r="WKV1" s="842"/>
      <c r="WKW1" s="842"/>
      <c r="WKX1" s="842"/>
      <c r="WKY1" s="842"/>
      <c r="WKZ1" s="842"/>
      <c r="WLA1" s="842"/>
      <c r="WLB1" s="842"/>
      <c r="WLC1" s="842"/>
      <c r="WLD1" s="842"/>
      <c r="WLE1" s="842"/>
      <c r="WLF1" s="842"/>
      <c r="WLG1" s="842"/>
      <c r="WLH1" s="842"/>
      <c r="WLI1" s="842"/>
      <c r="WLJ1" s="842"/>
      <c r="WLK1" s="842"/>
      <c r="WLL1" s="842"/>
      <c r="WLM1" s="842"/>
      <c r="WLN1" s="842"/>
      <c r="WLO1" s="842"/>
      <c r="WLP1" s="842"/>
      <c r="WLQ1" s="842"/>
      <c r="WLR1" s="842"/>
      <c r="WLS1" s="842"/>
      <c r="WLT1" s="842"/>
      <c r="WLU1" s="842"/>
      <c r="WLV1" s="842"/>
      <c r="WLW1" s="842"/>
      <c r="WLX1" s="842"/>
      <c r="WLY1" s="842"/>
      <c r="WLZ1" s="842"/>
      <c r="WMA1" s="842"/>
      <c r="WMB1" s="842"/>
      <c r="WMC1" s="842"/>
      <c r="WMD1" s="842"/>
      <c r="WME1" s="842"/>
      <c r="WMF1" s="842"/>
      <c r="WMG1" s="842"/>
      <c r="WMH1" s="842"/>
      <c r="WMI1" s="842"/>
      <c r="WMJ1" s="842"/>
      <c r="WMK1" s="842"/>
      <c r="WML1" s="842"/>
      <c r="WMM1" s="842"/>
      <c r="WMN1" s="842"/>
      <c r="WMO1" s="842"/>
      <c r="WMP1" s="842"/>
      <c r="WMQ1" s="842"/>
      <c r="WMR1" s="842"/>
      <c r="WMS1" s="842"/>
      <c r="WMT1" s="842"/>
      <c r="WMU1" s="842"/>
      <c r="WMV1" s="842"/>
      <c r="WMW1" s="842"/>
      <c r="WMX1" s="842"/>
      <c r="WMY1" s="842"/>
      <c r="WMZ1" s="842"/>
      <c r="WNA1" s="842"/>
      <c r="WNB1" s="842"/>
      <c r="WNC1" s="842"/>
      <c r="WND1" s="842"/>
      <c r="WNE1" s="842"/>
      <c r="WNF1" s="842"/>
      <c r="WNG1" s="842"/>
      <c r="WNH1" s="842"/>
      <c r="WNI1" s="842"/>
      <c r="WNJ1" s="842"/>
      <c r="WNK1" s="842"/>
      <c r="WNL1" s="842"/>
      <c r="WNM1" s="842"/>
      <c r="WNN1" s="842"/>
      <c r="WNO1" s="842"/>
      <c r="WNP1" s="842"/>
      <c r="WNQ1" s="842"/>
      <c r="WNR1" s="842"/>
      <c r="WNS1" s="842"/>
      <c r="WNT1" s="842"/>
      <c r="WNU1" s="842"/>
      <c r="WNV1" s="842"/>
      <c r="WNW1" s="842"/>
      <c r="WNX1" s="842"/>
      <c r="WNY1" s="842"/>
      <c r="WNZ1" s="842"/>
      <c r="WOA1" s="842"/>
      <c r="WOB1" s="842"/>
      <c r="WOC1" s="842"/>
      <c r="WOD1" s="842"/>
      <c r="WOE1" s="842"/>
      <c r="WOF1" s="842"/>
      <c r="WOG1" s="842"/>
      <c r="WOH1" s="842"/>
      <c r="WOI1" s="842"/>
      <c r="WOJ1" s="842"/>
      <c r="WOK1" s="842"/>
      <c r="WOL1" s="842"/>
      <c r="WOM1" s="842"/>
      <c r="WON1" s="842"/>
      <c r="WOO1" s="842"/>
      <c r="WOP1" s="842"/>
      <c r="WOQ1" s="842"/>
      <c r="WOR1" s="842"/>
      <c r="WOS1" s="842"/>
      <c r="WOT1" s="842"/>
      <c r="WOU1" s="842"/>
      <c r="WOV1" s="842"/>
      <c r="WOW1" s="842"/>
      <c r="WOX1" s="842"/>
      <c r="WOY1" s="842"/>
      <c r="WOZ1" s="842"/>
      <c r="WPA1" s="842"/>
      <c r="WPB1" s="842"/>
      <c r="WPC1" s="842"/>
      <c r="WPD1" s="842"/>
      <c r="WPE1" s="842"/>
      <c r="WPF1" s="842"/>
      <c r="WPG1" s="842"/>
      <c r="WPH1" s="842"/>
      <c r="WPI1" s="842"/>
      <c r="WPJ1" s="842"/>
      <c r="WPK1" s="842"/>
      <c r="WPL1" s="842"/>
      <c r="WPM1" s="842"/>
      <c r="WPN1" s="842"/>
      <c r="WPO1" s="842"/>
      <c r="WPP1" s="842"/>
      <c r="WPQ1" s="842"/>
      <c r="WPR1" s="842"/>
      <c r="WPS1" s="842"/>
      <c r="WPT1" s="842"/>
      <c r="WPU1" s="842"/>
      <c r="WPV1" s="842"/>
      <c r="WPW1" s="842"/>
      <c r="WPX1" s="842"/>
      <c r="WPY1" s="842"/>
      <c r="WPZ1" s="842"/>
      <c r="WQA1" s="842"/>
      <c r="WQB1" s="842"/>
      <c r="WQC1" s="842"/>
      <c r="WQD1" s="842"/>
      <c r="WQE1" s="842"/>
      <c r="WQF1" s="842"/>
      <c r="WQG1" s="842"/>
      <c r="WQH1" s="842"/>
      <c r="WQI1" s="842"/>
      <c r="WQJ1" s="842"/>
      <c r="WQK1" s="842"/>
      <c r="WQL1" s="842"/>
      <c r="WQM1" s="842"/>
      <c r="WQN1" s="842"/>
      <c r="WQO1" s="842"/>
      <c r="WQP1" s="842"/>
      <c r="WQQ1" s="842"/>
      <c r="WQR1" s="842"/>
      <c r="WQS1" s="842"/>
      <c r="WQT1" s="842"/>
      <c r="WQU1" s="842"/>
      <c r="WQV1" s="842"/>
      <c r="WQW1" s="842"/>
      <c r="WQX1" s="842"/>
      <c r="WQY1" s="842"/>
      <c r="WQZ1" s="842"/>
      <c r="WRA1" s="842"/>
      <c r="WRB1" s="842"/>
      <c r="WRC1" s="842"/>
      <c r="WRD1" s="842"/>
      <c r="WRE1" s="842"/>
      <c r="WRF1" s="842"/>
      <c r="WRG1" s="842"/>
      <c r="WRH1" s="842"/>
      <c r="WRI1" s="842"/>
      <c r="WRJ1" s="842"/>
      <c r="WRK1" s="842"/>
      <c r="WRL1" s="842"/>
      <c r="WRM1" s="842"/>
      <c r="WRN1" s="842"/>
      <c r="WRO1" s="842"/>
      <c r="WRP1" s="842"/>
      <c r="WRQ1" s="842"/>
      <c r="WRR1" s="842"/>
      <c r="WRS1" s="842"/>
      <c r="WRT1" s="842"/>
      <c r="WRU1" s="842"/>
      <c r="WRV1" s="842"/>
      <c r="WRW1" s="842"/>
      <c r="WRX1" s="842"/>
      <c r="WRY1" s="842"/>
      <c r="WRZ1" s="842"/>
      <c r="WSA1" s="842"/>
      <c r="WSB1" s="842"/>
      <c r="WSC1" s="842"/>
      <c r="WSD1" s="842"/>
      <c r="WSE1" s="842"/>
      <c r="WSF1" s="842"/>
      <c r="WSG1" s="842"/>
      <c r="WSH1" s="842"/>
      <c r="WSI1" s="842"/>
      <c r="WSJ1" s="842"/>
      <c r="WSK1" s="842"/>
      <c r="WSL1" s="842"/>
      <c r="WSM1" s="842"/>
      <c r="WSN1" s="842"/>
      <c r="WSO1" s="842"/>
      <c r="WSP1" s="842"/>
      <c r="WSQ1" s="842"/>
      <c r="WSR1" s="842"/>
      <c r="WSS1" s="842"/>
      <c r="WST1" s="842"/>
      <c r="WSU1" s="842"/>
      <c r="WSV1" s="842"/>
      <c r="WSW1" s="842"/>
      <c r="WSX1" s="842"/>
      <c r="WSY1" s="842"/>
      <c r="WSZ1" s="842"/>
      <c r="WTA1" s="842"/>
      <c r="WTB1" s="842"/>
      <c r="WTC1" s="842"/>
      <c r="WTD1" s="842"/>
      <c r="WTE1" s="842"/>
      <c r="WTF1" s="842"/>
      <c r="WTG1" s="842"/>
      <c r="WTH1" s="842"/>
      <c r="WTI1" s="842"/>
      <c r="WTJ1" s="842"/>
      <c r="WTK1" s="842"/>
      <c r="WTL1" s="842"/>
      <c r="WTM1" s="842"/>
      <c r="WTN1" s="842"/>
      <c r="WTO1" s="842"/>
      <c r="WTP1" s="842"/>
      <c r="WTQ1" s="842"/>
      <c r="WTR1" s="842"/>
      <c r="WTS1" s="842"/>
      <c r="WTT1" s="842"/>
      <c r="WTU1" s="842"/>
      <c r="WTV1" s="842"/>
      <c r="WTW1" s="842"/>
      <c r="WTX1" s="842"/>
      <c r="WTY1" s="842"/>
      <c r="WTZ1" s="842"/>
      <c r="WUA1" s="842"/>
      <c r="WUB1" s="842"/>
      <c r="WUC1" s="842"/>
      <c r="WUD1" s="842"/>
      <c r="WUE1" s="842"/>
      <c r="WUF1" s="842"/>
      <c r="WUG1" s="842"/>
      <c r="WUH1" s="842"/>
      <c r="WUI1" s="842"/>
      <c r="WUJ1" s="842"/>
      <c r="WUK1" s="842"/>
      <c r="WUL1" s="842"/>
      <c r="WUM1" s="842"/>
      <c r="WUN1" s="842"/>
      <c r="WUO1" s="842"/>
      <c r="WUP1" s="842"/>
      <c r="WUQ1" s="842"/>
      <c r="WUR1" s="842"/>
      <c r="WUS1" s="842"/>
      <c r="WUT1" s="842"/>
      <c r="WUU1" s="842"/>
      <c r="WUV1" s="842"/>
      <c r="WUW1" s="842"/>
      <c r="WUX1" s="842"/>
      <c r="WUY1" s="842"/>
      <c r="WUZ1" s="842"/>
      <c r="WVA1" s="842"/>
      <c r="WVB1" s="842"/>
      <c r="WVC1" s="842"/>
      <c r="WVD1" s="842"/>
      <c r="WVE1" s="842"/>
      <c r="WVF1" s="842"/>
      <c r="WVG1" s="842"/>
      <c r="WVH1" s="842"/>
      <c r="WVI1" s="842"/>
      <c r="WVJ1" s="842"/>
      <c r="WVK1" s="842"/>
      <c r="WVL1" s="842"/>
      <c r="WVM1" s="842"/>
      <c r="WVN1" s="842"/>
      <c r="WVO1" s="842"/>
      <c r="WVP1" s="842"/>
      <c r="WVQ1" s="842"/>
      <c r="WVR1" s="842"/>
      <c r="WVS1" s="842"/>
      <c r="WVT1" s="842"/>
      <c r="WVU1" s="842"/>
      <c r="WVV1" s="842"/>
      <c r="WVW1" s="842"/>
      <c r="WVX1" s="842"/>
      <c r="WVY1" s="842"/>
      <c r="WVZ1" s="842"/>
      <c r="WWA1" s="842"/>
      <c r="WWB1" s="842"/>
      <c r="WWC1" s="842"/>
      <c r="WWD1" s="842"/>
      <c r="WWE1" s="842"/>
      <c r="WWF1" s="842"/>
      <c r="WWG1" s="842"/>
      <c r="WWH1" s="842"/>
      <c r="WWI1" s="842"/>
      <c r="WWJ1" s="842"/>
      <c r="WWK1" s="842"/>
      <c r="WWL1" s="842"/>
      <c r="WWM1" s="842"/>
      <c r="WWN1" s="842"/>
      <c r="WWO1" s="842"/>
      <c r="WWP1" s="842"/>
      <c r="WWQ1" s="842"/>
      <c r="WWR1" s="842"/>
      <c r="WWS1" s="842"/>
      <c r="WWT1" s="842"/>
      <c r="WWU1" s="842"/>
      <c r="WWV1" s="842"/>
      <c r="WWW1" s="842"/>
      <c r="WWX1" s="842"/>
      <c r="WWY1" s="842"/>
      <c r="WWZ1" s="842"/>
      <c r="WXA1" s="842"/>
      <c r="WXB1" s="842"/>
      <c r="WXC1" s="842"/>
      <c r="WXD1" s="842"/>
      <c r="WXE1" s="842"/>
      <c r="WXF1" s="842"/>
      <c r="WXG1" s="842"/>
      <c r="WXH1" s="842"/>
      <c r="WXI1" s="842"/>
      <c r="WXJ1" s="842"/>
      <c r="WXK1" s="842"/>
      <c r="WXL1" s="842"/>
      <c r="WXM1" s="842"/>
      <c r="WXN1" s="842"/>
      <c r="WXO1" s="842"/>
      <c r="WXP1" s="842"/>
      <c r="WXQ1" s="842"/>
      <c r="WXR1" s="842"/>
      <c r="WXS1" s="842"/>
      <c r="WXT1" s="842"/>
      <c r="WXU1" s="842"/>
      <c r="WXV1" s="842"/>
      <c r="WXW1" s="842"/>
      <c r="WXX1" s="842"/>
      <c r="WXY1" s="842"/>
      <c r="WXZ1" s="842"/>
      <c r="WYA1" s="842"/>
      <c r="WYB1" s="842"/>
      <c r="WYC1" s="842"/>
      <c r="WYD1" s="842"/>
      <c r="WYE1" s="842"/>
      <c r="WYF1" s="842"/>
      <c r="WYG1" s="842"/>
      <c r="WYH1" s="842"/>
      <c r="WYI1" s="842"/>
      <c r="WYJ1" s="842"/>
      <c r="WYK1" s="842"/>
      <c r="WYL1" s="842"/>
      <c r="WYM1" s="842"/>
      <c r="WYN1" s="842"/>
      <c r="WYO1" s="842"/>
      <c r="WYP1" s="842"/>
      <c r="WYQ1" s="842"/>
      <c r="WYR1" s="842"/>
      <c r="WYS1" s="842"/>
      <c r="WYT1" s="842"/>
      <c r="WYU1" s="842"/>
      <c r="WYV1" s="842"/>
      <c r="WYW1" s="842"/>
      <c r="WYX1" s="842"/>
      <c r="WYY1" s="842"/>
      <c r="WYZ1" s="842"/>
      <c r="WZA1" s="842"/>
      <c r="WZB1" s="842"/>
      <c r="WZC1" s="842"/>
      <c r="WZD1" s="842"/>
      <c r="WZE1" s="842"/>
      <c r="WZF1" s="842"/>
      <c r="WZG1" s="842"/>
      <c r="WZH1" s="842"/>
      <c r="WZI1" s="842"/>
      <c r="WZJ1" s="842"/>
      <c r="WZK1" s="842"/>
      <c r="WZL1" s="842"/>
      <c r="WZM1" s="842"/>
      <c r="WZN1" s="842"/>
      <c r="WZO1" s="842"/>
      <c r="WZP1" s="842"/>
      <c r="WZQ1" s="842"/>
      <c r="WZR1" s="842"/>
      <c r="WZS1" s="842"/>
      <c r="WZT1" s="842"/>
      <c r="WZU1" s="842"/>
      <c r="WZV1" s="842"/>
      <c r="WZW1" s="842"/>
      <c r="WZX1" s="842"/>
      <c r="WZY1" s="842"/>
      <c r="WZZ1" s="842"/>
      <c r="XAA1" s="842"/>
      <c r="XAB1" s="842"/>
      <c r="XAC1" s="842"/>
      <c r="XAD1" s="842"/>
      <c r="XAE1" s="842"/>
      <c r="XAF1" s="842"/>
      <c r="XAG1" s="842"/>
      <c r="XAH1" s="842"/>
      <c r="XAI1" s="842"/>
      <c r="XAJ1" s="842"/>
      <c r="XAK1" s="842"/>
      <c r="XAL1" s="842"/>
      <c r="XAM1" s="842"/>
      <c r="XAN1" s="842"/>
      <c r="XAO1" s="842"/>
      <c r="XAP1" s="842"/>
      <c r="XAQ1" s="842"/>
      <c r="XAR1" s="842"/>
      <c r="XAS1" s="842"/>
      <c r="XAT1" s="842"/>
      <c r="XAU1" s="842"/>
      <c r="XAV1" s="842"/>
      <c r="XAW1" s="842"/>
      <c r="XAX1" s="842"/>
      <c r="XAY1" s="842"/>
      <c r="XAZ1" s="842"/>
      <c r="XBA1" s="842"/>
      <c r="XBB1" s="842"/>
      <c r="XBC1" s="842"/>
      <c r="XBD1" s="842"/>
      <c r="XBE1" s="842"/>
      <c r="XBF1" s="842"/>
      <c r="XBG1" s="842"/>
      <c r="XBH1" s="842"/>
      <c r="XBI1" s="842"/>
      <c r="XBJ1" s="842"/>
      <c r="XBK1" s="842"/>
      <c r="XBL1" s="842"/>
      <c r="XBM1" s="842"/>
      <c r="XBN1" s="842"/>
      <c r="XBO1" s="842"/>
      <c r="XBP1" s="842"/>
      <c r="XBQ1" s="842"/>
      <c r="XBR1" s="842"/>
      <c r="XBS1" s="842"/>
      <c r="XBT1" s="842"/>
      <c r="XBU1" s="842"/>
      <c r="XBV1" s="842"/>
      <c r="XBW1" s="842"/>
      <c r="XBX1" s="842"/>
      <c r="XBY1" s="842"/>
      <c r="XBZ1" s="842"/>
      <c r="XCA1" s="842"/>
      <c r="XCB1" s="842"/>
      <c r="XCC1" s="842"/>
      <c r="XCD1" s="842"/>
      <c r="XCE1" s="842"/>
      <c r="XCF1" s="842"/>
      <c r="XCG1" s="842"/>
      <c r="XCH1" s="842"/>
      <c r="XCI1" s="842"/>
      <c r="XCJ1" s="842"/>
      <c r="XCK1" s="842"/>
      <c r="XCL1" s="842"/>
      <c r="XCM1" s="842"/>
      <c r="XCN1" s="842"/>
      <c r="XCO1" s="842"/>
      <c r="XCP1" s="842"/>
      <c r="XCQ1" s="842"/>
      <c r="XCR1" s="842"/>
      <c r="XCS1" s="842"/>
      <c r="XCT1" s="842"/>
      <c r="XCU1" s="842"/>
      <c r="XCV1" s="842"/>
      <c r="XCW1" s="842"/>
      <c r="XCX1" s="842"/>
      <c r="XCY1" s="842"/>
      <c r="XCZ1" s="842"/>
      <c r="XDA1" s="842"/>
      <c r="XDB1" s="842"/>
      <c r="XDC1" s="842"/>
      <c r="XDD1" s="842"/>
      <c r="XDE1" s="842"/>
      <c r="XDF1" s="842"/>
      <c r="XDG1" s="842"/>
      <c r="XDH1" s="842"/>
      <c r="XDI1" s="842"/>
      <c r="XDJ1" s="842"/>
      <c r="XDK1" s="842"/>
      <c r="XDL1" s="842"/>
      <c r="XDM1" s="842"/>
      <c r="XDN1" s="842"/>
      <c r="XDO1" s="842"/>
      <c r="XDP1" s="842"/>
      <c r="XDQ1" s="842"/>
      <c r="XDR1" s="842"/>
      <c r="XDS1" s="842"/>
      <c r="XDT1" s="842"/>
      <c r="XDU1" s="842"/>
      <c r="XDV1" s="842"/>
      <c r="XDW1" s="842"/>
      <c r="XDX1" s="842"/>
      <c r="XDY1" s="842"/>
      <c r="XDZ1" s="842"/>
      <c r="XEA1" s="842"/>
      <c r="XEB1" s="842"/>
      <c r="XEC1" s="842"/>
      <c r="XED1" s="842"/>
      <c r="XEE1" s="842"/>
      <c r="XEF1" s="842"/>
      <c r="XEG1" s="842"/>
      <c r="XEH1" s="842"/>
      <c r="XEI1" s="842"/>
      <c r="XEJ1" s="842"/>
      <c r="XEK1" s="842"/>
      <c r="XEL1" s="842"/>
      <c r="XEM1" s="842"/>
      <c r="XEN1" s="842"/>
      <c r="XEO1" s="842"/>
      <c r="XEP1" s="842"/>
      <c r="XEQ1" s="842"/>
      <c r="XER1" s="842"/>
      <c r="XES1" s="842"/>
      <c r="XET1" s="842"/>
      <c r="XEU1" s="842"/>
      <c r="XEV1" s="842"/>
      <c r="XEW1" s="842"/>
      <c r="XEX1" s="842"/>
      <c r="XEY1" s="842"/>
      <c r="XEZ1" s="842"/>
      <c r="XFA1" s="842"/>
      <c r="XFB1" s="842"/>
    </row>
    <row r="2" spans="1:16382">
      <c r="B2" s="224"/>
    </row>
    <row r="3" spans="1:16382" ht="17.25" customHeight="1">
      <c r="A3" s="221" t="s">
        <v>1432</v>
      </c>
      <c r="B3" s="221"/>
      <c r="C3" s="221"/>
      <c r="D3" s="221"/>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994"/>
      <c r="BF3" s="994"/>
      <c r="BG3" s="994"/>
      <c r="BH3" s="994"/>
      <c r="BI3" s="994"/>
      <c r="BJ3" s="994"/>
      <c r="BK3" s="994"/>
      <c r="BL3" s="994"/>
      <c r="BM3" s="994"/>
      <c r="BN3" s="994"/>
      <c r="BO3" s="994"/>
      <c r="BP3" s="994"/>
      <c r="BQ3" s="994"/>
      <c r="BR3" s="994"/>
      <c r="BS3" s="994"/>
      <c r="BT3" s="994"/>
      <c r="BU3" s="994"/>
      <c r="BV3" s="994"/>
      <c r="BW3" s="994"/>
      <c r="BX3" s="994"/>
      <c r="BY3" s="994"/>
      <c r="BZ3" s="994"/>
      <c r="CA3" s="994"/>
      <c r="CB3" s="994"/>
      <c r="CC3" s="994"/>
      <c r="CD3" s="994"/>
      <c r="CE3" s="994"/>
      <c r="CF3" s="994"/>
      <c r="CG3" s="994"/>
      <c r="CH3" s="994"/>
      <c r="CI3" s="994"/>
      <c r="CJ3" s="994"/>
      <c r="CK3" s="994"/>
      <c r="CL3" s="994"/>
      <c r="CM3" s="994"/>
      <c r="CN3" s="994"/>
      <c r="CO3" s="994"/>
      <c r="CP3" s="994"/>
      <c r="CQ3" s="994"/>
      <c r="CR3" s="994"/>
      <c r="CS3" s="994"/>
      <c r="CT3" s="994"/>
      <c r="CU3" s="994"/>
      <c r="CV3" s="994"/>
      <c r="CW3" s="994"/>
      <c r="CX3" s="994"/>
      <c r="CY3" s="994"/>
      <c r="CZ3" s="994"/>
      <c r="DA3" s="994"/>
      <c r="DB3" s="994"/>
      <c r="DC3" s="994"/>
      <c r="DD3" s="994"/>
      <c r="DE3" s="994"/>
      <c r="DF3" s="994"/>
      <c r="DG3" s="994"/>
      <c r="DH3" s="994"/>
      <c r="DI3" s="994"/>
      <c r="DJ3" s="994"/>
      <c r="DK3" s="994"/>
      <c r="DL3" s="994"/>
      <c r="DM3" s="994"/>
      <c r="DN3" s="994"/>
      <c r="DO3" s="994"/>
      <c r="DP3" s="994"/>
      <c r="DQ3" s="994"/>
      <c r="DR3" s="994"/>
      <c r="DS3" s="994"/>
      <c r="DT3" s="994"/>
      <c r="DU3" s="994"/>
      <c r="DV3" s="994"/>
      <c r="DW3" s="994"/>
      <c r="DX3" s="994"/>
      <c r="DY3" s="994"/>
      <c r="DZ3" s="994"/>
      <c r="EA3" s="994"/>
      <c r="EB3" s="994"/>
      <c r="EC3" s="994"/>
      <c r="ED3" s="994"/>
      <c r="EE3" s="994"/>
      <c r="EF3" s="994"/>
      <c r="EG3" s="994"/>
      <c r="EH3" s="994"/>
      <c r="EI3" s="994"/>
      <c r="EJ3" s="994"/>
      <c r="EK3" s="994"/>
      <c r="EL3" s="994"/>
      <c r="EM3" s="994"/>
      <c r="EN3" s="994"/>
      <c r="EO3" s="994"/>
      <c r="EP3" s="994"/>
      <c r="EQ3" s="994"/>
      <c r="ER3" s="994"/>
      <c r="ES3" s="994"/>
      <c r="ET3" s="994"/>
      <c r="EU3" s="994"/>
      <c r="EV3" s="994"/>
      <c r="EW3" s="994"/>
      <c r="EX3" s="994"/>
      <c r="EY3" s="994"/>
      <c r="EZ3" s="994"/>
      <c r="FA3" s="994"/>
      <c r="FB3" s="994"/>
      <c r="FC3" s="994"/>
      <c r="FD3" s="994"/>
      <c r="FE3" s="994"/>
      <c r="FF3" s="994"/>
      <c r="FG3" s="994"/>
      <c r="FH3" s="994"/>
      <c r="FI3" s="994"/>
      <c r="FJ3" s="994"/>
      <c r="FK3" s="994"/>
      <c r="FL3" s="994"/>
      <c r="FM3" s="994"/>
      <c r="FN3" s="994"/>
      <c r="FO3" s="994"/>
      <c r="FP3" s="994"/>
      <c r="FQ3" s="994"/>
      <c r="FR3" s="994"/>
      <c r="FS3" s="994"/>
      <c r="FT3" s="994"/>
      <c r="FU3" s="994"/>
      <c r="FV3" s="994"/>
      <c r="FW3" s="994"/>
      <c r="FX3" s="994"/>
      <c r="FY3" s="994"/>
      <c r="FZ3" s="994"/>
      <c r="GA3" s="994"/>
      <c r="GB3" s="994"/>
      <c r="GC3" s="994"/>
      <c r="GD3" s="994"/>
      <c r="GE3" s="994"/>
      <c r="GF3" s="994"/>
      <c r="GG3" s="994"/>
      <c r="GH3" s="994"/>
      <c r="GI3" s="994"/>
      <c r="GJ3" s="994"/>
      <c r="GK3" s="994"/>
      <c r="GL3" s="994"/>
      <c r="GM3" s="994"/>
      <c r="GN3" s="994"/>
      <c r="GO3" s="994"/>
      <c r="GP3" s="994"/>
      <c r="GQ3" s="994"/>
      <c r="GR3" s="994"/>
      <c r="GS3" s="994"/>
      <c r="GT3" s="994"/>
      <c r="GU3" s="994"/>
      <c r="GV3" s="994"/>
      <c r="GW3" s="994"/>
      <c r="GX3" s="994"/>
      <c r="GY3" s="994"/>
      <c r="GZ3" s="994"/>
      <c r="HA3" s="994"/>
      <c r="HB3" s="994"/>
      <c r="HC3" s="994"/>
      <c r="HD3" s="994"/>
      <c r="HE3" s="994"/>
      <c r="HF3" s="994"/>
      <c r="HG3" s="994"/>
      <c r="HH3" s="994"/>
      <c r="HI3" s="994"/>
      <c r="HJ3" s="994"/>
      <c r="HK3" s="994"/>
      <c r="HL3" s="994"/>
      <c r="HM3" s="994"/>
      <c r="HN3" s="994"/>
      <c r="HO3" s="994"/>
      <c r="HP3" s="994"/>
      <c r="HQ3" s="994"/>
      <c r="HR3" s="994"/>
      <c r="HS3" s="994"/>
      <c r="HT3" s="994"/>
      <c r="HU3" s="994"/>
      <c r="HV3" s="994"/>
      <c r="HW3" s="994"/>
      <c r="HX3" s="994"/>
      <c r="HY3" s="994"/>
      <c r="HZ3" s="994"/>
      <c r="IA3" s="994"/>
      <c r="IB3" s="994"/>
      <c r="IC3" s="994"/>
      <c r="ID3" s="994"/>
      <c r="IE3" s="994"/>
      <c r="IF3" s="994"/>
      <c r="IG3" s="994"/>
      <c r="IH3" s="994"/>
      <c r="II3" s="994"/>
      <c r="IJ3" s="994"/>
      <c r="IK3" s="994"/>
      <c r="IL3" s="994"/>
      <c r="IM3" s="994"/>
      <c r="IN3" s="994"/>
      <c r="IO3" s="994"/>
      <c r="IP3" s="994"/>
      <c r="IQ3" s="994"/>
      <c r="IR3" s="994"/>
      <c r="IS3" s="994"/>
      <c r="IT3" s="994"/>
      <c r="IU3" s="994"/>
      <c r="IV3" s="994"/>
      <c r="IW3" s="994"/>
      <c r="IX3" s="994"/>
      <c r="IY3" s="994"/>
      <c r="IZ3" s="994"/>
      <c r="JA3" s="994"/>
      <c r="JB3" s="994"/>
      <c r="JC3" s="994"/>
      <c r="JD3" s="994"/>
      <c r="JE3" s="994"/>
      <c r="JF3" s="994"/>
      <c r="JG3" s="994"/>
      <c r="JH3" s="994"/>
      <c r="JI3" s="994"/>
      <c r="JJ3" s="994"/>
      <c r="JK3" s="994"/>
      <c r="JL3" s="994"/>
      <c r="JM3" s="994"/>
      <c r="JN3" s="994"/>
      <c r="JO3" s="994"/>
      <c r="JP3" s="994"/>
      <c r="JQ3" s="994"/>
      <c r="JR3" s="994"/>
      <c r="JS3" s="994"/>
      <c r="JT3" s="994"/>
      <c r="JU3" s="994"/>
      <c r="JV3" s="994"/>
      <c r="JW3" s="994"/>
      <c r="JX3" s="994"/>
      <c r="JY3" s="994"/>
      <c r="JZ3" s="994"/>
      <c r="KA3" s="994"/>
      <c r="KB3" s="994"/>
      <c r="KC3" s="994"/>
      <c r="KD3" s="994"/>
      <c r="KE3" s="994"/>
      <c r="KF3" s="994"/>
      <c r="KG3" s="994"/>
      <c r="KH3" s="994"/>
      <c r="KI3" s="994"/>
      <c r="KJ3" s="994"/>
      <c r="KK3" s="994"/>
      <c r="KL3" s="994"/>
      <c r="KM3" s="994"/>
      <c r="KN3" s="994"/>
      <c r="KO3" s="994"/>
      <c r="KP3" s="994"/>
      <c r="KQ3" s="994"/>
      <c r="KR3" s="994"/>
      <c r="KS3" s="994"/>
      <c r="KT3" s="994"/>
      <c r="KU3" s="994"/>
      <c r="KV3" s="994"/>
      <c r="KW3" s="994"/>
      <c r="KX3" s="994"/>
      <c r="KY3" s="994"/>
      <c r="KZ3" s="994"/>
      <c r="LA3" s="994"/>
      <c r="LB3" s="994"/>
      <c r="LC3" s="994"/>
      <c r="LD3" s="994"/>
      <c r="LE3" s="994"/>
      <c r="LF3" s="994"/>
      <c r="LG3" s="994"/>
      <c r="LH3" s="994"/>
      <c r="LI3" s="994"/>
      <c r="LJ3" s="994"/>
      <c r="LK3" s="994"/>
      <c r="LL3" s="994"/>
      <c r="LM3" s="994"/>
      <c r="LN3" s="994"/>
      <c r="LO3" s="994"/>
      <c r="LP3" s="994"/>
      <c r="LQ3" s="994"/>
      <c r="LR3" s="994"/>
      <c r="LS3" s="994"/>
      <c r="LT3" s="994"/>
      <c r="LU3" s="994"/>
      <c r="LV3" s="994"/>
      <c r="LW3" s="994"/>
      <c r="LX3" s="994"/>
      <c r="LY3" s="994"/>
      <c r="LZ3" s="994"/>
      <c r="MA3" s="994"/>
      <c r="MB3" s="994"/>
      <c r="MC3" s="994"/>
      <c r="MD3" s="994"/>
      <c r="ME3" s="994"/>
      <c r="MF3" s="994"/>
      <c r="MG3" s="994"/>
      <c r="MH3" s="994"/>
      <c r="MI3" s="994"/>
      <c r="MJ3" s="994"/>
      <c r="MK3" s="994"/>
      <c r="ML3" s="994"/>
      <c r="MM3" s="994"/>
      <c r="MN3" s="994"/>
      <c r="MO3" s="994"/>
      <c r="MP3" s="994"/>
      <c r="MQ3" s="994"/>
      <c r="MR3" s="994"/>
      <c r="MS3" s="994"/>
      <c r="MT3" s="994"/>
      <c r="MU3" s="994"/>
      <c r="MV3" s="994"/>
      <c r="MW3" s="994"/>
      <c r="MX3" s="994"/>
      <c r="MY3" s="994"/>
      <c r="MZ3" s="994"/>
      <c r="NA3" s="994"/>
      <c r="NB3" s="994"/>
      <c r="NC3" s="994"/>
      <c r="ND3" s="994"/>
      <c r="NE3" s="994"/>
      <c r="NF3" s="994"/>
      <c r="NG3" s="994"/>
      <c r="NH3" s="994"/>
      <c r="NI3" s="994"/>
      <c r="NJ3" s="994"/>
      <c r="NK3" s="994"/>
      <c r="NL3" s="994"/>
      <c r="NM3" s="994"/>
      <c r="NN3" s="994"/>
      <c r="NO3" s="994"/>
      <c r="NP3" s="994"/>
      <c r="NQ3" s="994"/>
      <c r="NR3" s="994"/>
      <c r="NS3" s="994"/>
      <c r="NT3" s="994"/>
      <c r="NU3" s="994"/>
      <c r="NV3" s="994"/>
      <c r="NW3" s="994"/>
      <c r="NX3" s="994"/>
      <c r="NY3" s="994"/>
      <c r="NZ3" s="994"/>
      <c r="OA3" s="994"/>
      <c r="OB3" s="994"/>
      <c r="OC3" s="994"/>
      <c r="OD3" s="994"/>
      <c r="OE3" s="994"/>
      <c r="OF3" s="994"/>
      <c r="OG3" s="994"/>
      <c r="OH3" s="994"/>
      <c r="OI3" s="994"/>
      <c r="OJ3" s="994"/>
      <c r="OK3" s="994"/>
      <c r="OL3" s="994"/>
      <c r="OM3" s="994"/>
      <c r="ON3" s="994"/>
      <c r="OO3" s="994"/>
      <c r="OP3" s="994"/>
      <c r="OQ3" s="994"/>
      <c r="OR3" s="994"/>
      <c r="OS3" s="994"/>
      <c r="OT3" s="994"/>
      <c r="OU3" s="994"/>
      <c r="OV3" s="994"/>
      <c r="OW3" s="994"/>
      <c r="OX3" s="994"/>
      <c r="OY3" s="994"/>
      <c r="OZ3" s="994"/>
      <c r="PA3" s="994"/>
      <c r="PB3" s="994"/>
      <c r="PC3" s="994"/>
      <c r="PD3" s="994"/>
      <c r="PE3" s="994"/>
      <c r="PF3" s="994"/>
      <c r="PG3" s="994"/>
      <c r="PH3" s="994"/>
      <c r="PI3" s="994"/>
      <c r="PJ3" s="994"/>
      <c r="PK3" s="994"/>
      <c r="PL3" s="994"/>
      <c r="PM3" s="994"/>
      <c r="PN3" s="994"/>
      <c r="PO3" s="994"/>
      <c r="PP3" s="994"/>
      <c r="PQ3" s="994"/>
      <c r="PR3" s="994"/>
      <c r="PS3" s="994"/>
      <c r="PT3" s="994"/>
      <c r="PU3" s="994"/>
      <c r="PV3" s="994"/>
      <c r="PW3" s="994"/>
      <c r="PX3" s="994"/>
      <c r="PY3" s="994"/>
      <c r="PZ3" s="994"/>
      <c r="QA3" s="994"/>
      <c r="QB3" s="994"/>
      <c r="QC3" s="994"/>
      <c r="QD3" s="994"/>
      <c r="QE3" s="994"/>
      <c r="QF3" s="994"/>
      <c r="QG3" s="994"/>
      <c r="QH3" s="994"/>
      <c r="QI3" s="994"/>
      <c r="QJ3" s="994"/>
      <c r="QK3" s="994"/>
      <c r="QL3" s="994"/>
      <c r="QM3" s="994"/>
      <c r="QN3" s="994"/>
      <c r="QO3" s="994"/>
      <c r="QP3" s="994"/>
      <c r="QQ3" s="994"/>
      <c r="QR3" s="994"/>
      <c r="QS3" s="994"/>
      <c r="QT3" s="994"/>
      <c r="QU3" s="994"/>
      <c r="QV3" s="994"/>
      <c r="QW3" s="994"/>
      <c r="QX3" s="994"/>
      <c r="QY3" s="994"/>
      <c r="QZ3" s="994"/>
      <c r="RA3" s="994"/>
      <c r="RB3" s="994"/>
      <c r="RC3" s="994"/>
      <c r="RD3" s="994"/>
      <c r="RE3" s="994"/>
      <c r="RF3" s="994"/>
      <c r="RG3" s="994"/>
      <c r="RH3" s="994"/>
      <c r="RI3" s="994"/>
      <c r="RJ3" s="994"/>
      <c r="RK3" s="994"/>
      <c r="RL3" s="994"/>
      <c r="RM3" s="994"/>
      <c r="RN3" s="994"/>
      <c r="RO3" s="994"/>
      <c r="RP3" s="994"/>
      <c r="RQ3" s="994"/>
      <c r="RR3" s="994"/>
      <c r="RS3" s="994"/>
      <c r="RT3" s="994"/>
      <c r="RU3" s="994"/>
      <c r="RV3" s="994"/>
      <c r="RW3" s="994"/>
      <c r="RX3" s="994"/>
      <c r="RY3" s="994"/>
      <c r="RZ3" s="994"/>
      <c r="SA3" s="994"/>
      <c r="SB3" s="994"/>
      <c r="SC3" s="994"/>
      <c r="SD3" s="994"/>
      <c r="SE3" s="994"/>
      <c r="SF3" s="994"/>
      <c r="SG3" s="994"/>
      <c r="SH3" s="994"/>
      <c r="SI3" s="994"/>
      <c r="SJ3" s="994"/>
      <c r="SK3" s="994"/>
      <c r="SL3" s="994"/>
      <c r="SM3" s="994"/>
      <c r="SN3" s="994"/>
      <c r="SO3" s="994"/>
      <c r="SP3" s="994"/>
      <c r="SQ3" s="994"/>
      <c r="SR3" s="994"/>
      <c r="SS3" s="994"/>
      <c r="ST3" s="994"/>
      <c r="SU3" s="994"/>
      <c r="SV3" s="994"/>
      <c r="SW3" s="994"/>
      <c r="SX3" s="994"/>
      <c r="SY3" s="994"/>
      <c r="SZ3" s="994"/>
      <c r="TA3" s="994"/>
      <c r="TB3" s="994"/>
      <c r="TC3" s="994"/>
      <c r="TD3" s="994"/>
      <c r="TE3" s="994"/>
      <c r="TF3" s="994"/>
      <c r="TG3" s="994"/>
      <c r="TH3" s="994"/>
      <c r="TI3" s="994"/>
      <c r="TJ3" s="994"/>
      <c r="TK3" s="994"/>
      <c r="TL3" s="994"/>
      <c r="TM3" s="994"/>
      <c r="TN3" s="994"/>
      <c r="TO3" s="994"/>
      <c r="TP3" s="994"/>
      <c r="TQ3" s="994"/>
      <c r="TR3" s="994"/>
      <c r="TS3" s="994"/>
      <c r="TT3" s="994"/>
      <c r="TU3" s="994"/>
      <c r="TV3" s="994"/>
      <c r="TW3" s="994"/>
      <c r="TX3" s="994"/>
      <c r="TY3" s="994"/>
      <c r="TZ3" s="994"/>
      <c r="UA3" s="994"/>
      <c r="UB3" s="994"/>
      <c r="UC3" s="994"/>
      <c r="UD3" s="994"/>
      <c r="UE3" s="994"/>
      <c r="UF3" s="994"/>
      <c r="UG3" s="994"/>
      <c r="UH3" s="994"/>
      <c r="UI3" s="994"/>
      <c r="UJ3" s="994"/>
      <c r="UK3" s="994"/>
      <c r="UL3" s="994"/>
      <c r="UM3" s="994"/>
      <c r="UN3" s="994"/>
      <c r="UO3" s="994"/>
      <c r="UP3" s="994"/>
      <c r="UQ3" s="994"/>
      <c r="UR3" s="994"/>
      <c r="US3" s="994"/>
      <c r="UT3" s="994"/>
      <c r="UU3" s="994"/>
      <c r="UV3" s="994"/>
      <c r="UW3" s="994"/>
      <c r="UX3" s="994"/>
      <c r="UY3" s="994"/>
      <c r="UZ3" s="994"/>
      <c r="VA3" s="994"/>
      <c r="VB3" s="994"/>
      <c r="VC3" s="994"/>
      <c r="VD3" s="994"/>
      <c r="VE3" s="994"/>
      <c r="VF3" s="994"/>
      <c r="VG3" s="994"/>
      <c r="VH3" s="994"/>
      <c r="VI3" s="994"/>
      <c r="VJ3" s="994"/>
      <c r="VK3" s="994"/>
      <c r="VL3" s="994"/>
      <c r="VM3" s="994"/>
      <c r="VN3" s="994"/>
      <c r="VO3" s="994"/>
      <c r="VP3" s="994"/>
      <c r="VQ3" s="994"/>
      <c r="VR3" s="994"/>
      <c r="VS3" s="994"/>
      <c r="VT3" s="994"/>
      <c r="VU3" s="994"/>
      <c r="VV3" s="994"/>
      <c r="VW3" s="994"/>
      <c r="VX3" s="994"/>
      <c r="VY3" s="994"/>
      <c r="VZ3" s="994"/>
      <c r="WA3" s="994"/>
      <c r="WB3" s="994"/>
      <c r="WC3" s="994"/>
      <c r="WD3" s="994"/>
      <c r="WE3" s="994"/>
      <c r="WF3" s="994"/>
      <c r="WG3" s="994"/>
      <c r="WH3" s="994"/>
      <c r="WI3" s="994"/>
      <c r="WJ3" s="994"/>
      <c r="WK3" s="994"/>
      <c r="WL3" s="994"/>
      <c r="WM3" s="994"/>
      <c r="WN3" s="994"/>
      <c r="WO3" s="994"/>
      <c r="WP3" s="994"/>
      <c r="WQ3" s="994"/>
      <c r="WR3" s="994"/>
      <c r="WS3" s="994"/>
      <c r="WT3" s="994"/>
      <c r="WU3" s="994"/>
      <c r="WV3" s="994"/>
      <c r="WW3" s="994"/>
      <c r="WX3" s="994"/>
      <c r="WY3" s="994"/>
      <c r="WZ3" s="994"/>
      <c r="XA3" s="994"/>
      <c r="XB3" s="994"/>
      <c r="XC3" s="994"/>
      <c r="XD3" s="994"/>
      <c r="XE3" s="994"/>
      <c r="XF3" s="994"/>
      <c r="XG3" s="994"/>
      <c r="XH3" s="994"/>
      <c r="XI3" s="994"/>
      <c r="XJ3" s="994"/>
      <c r="XK3" s="994"/>
      <c r="XL3" s="994"/>
      <c r="XM3" s="994"/>
      <c r="XN3" s="994"/>
      <c r="XO3" s="994"/>
      <c r="XP3" s="994"/>
      <c r="XQ3" s="994"/>
      <c r="XR3" s="994"/>
      <c r="XS3" s="994"/>
      <c r="XT3" s="994"/>
      <c r="XU3" s="994"/>
      <c r="XV3" s="994"/>
      <c r="XW3" s="994"/>
      <c r="XX3" s="994"/>
      <c r="XY3" s="994"/>
      <c r="XZ3" s="994"/>
      <c r="YA3" s="994"/>
      <c r="YB3" s="994"/>
      <c r="YC3" s="994"/>
      <c r="YD3" s="994"/>
      <c r="YE3" s="994"/>
      <c r="YF3" s="994"/>
      <c r="YG3" s="994"/>
      <c r="YH3" s="994"/>
      <c r="YI3" s="994"/>
      <c r="YJ3" s="994"/>
      <c r="YK3" s="994"/>
      <c r="YL3" s="994"/>
      <c r="YM3" s="994"/>
      <c r="YN3" s="994"/>
      <c r="YO3" s="994"/>
      <c r="YP3" s="994"/>
      <c r="YQ3" s="994"/>
      <c r="YR3" s="994"/>
      <c r="YS3" s="994"/>
      <c r="YT3" s="994"/>
      <c r="YU3" s="994"/>
      <c r="YV3" s="994"/>
      <c r="YW3" s="994"/>
      <c r="YX3" s="994"/>
      <c r="YY3" s="994"/>
      <c r="YZ3" s="994"/>
      <c r="ZA3" s="994"/>
      <c r="ZB3" s="994"/>
      <c r="ZC3" s="994"/>
      <c r="ZD3" s="994"/>
      <c r="ZE3" s="994"/>
      <c r="ZF3" s="994"/>
      <c r="ZG3" s="994"/>
      <c r="ZH3" s="994"/>
      <c r="ZI3" s="994"/>
      <c r="ZJ3" s="994"/>
      <c r="ZK3" s="994"/>
      <c r="ZL3" s="994"/>
      <c r="ZM3" s="994"/>
      <c r="ZN3" s="994"/>
      <c r="ZO3" s="994"/>
      <c r="ZP3" s="994"/>
      <c r="ZQ3" s="994"/>
      <c r="ZR3" s="994"/>
      <c r="ZS3" s="994"/>
      <c r="ZT3" s="994"/>
      <c r="ZU3" s="994"/>
      <c r="ZV3" s="994"/>
      <c r="ZW3" s="994"/>
      <c r="ZX3" s="994"/>
      <c r="ZY3" s="994"/>
      <c r="ZZ3" s="994"/>
      <c r="AAA3" s="994"/>
      <c r="AAB3" s="994"/>
      <c r="AAC3" s="994"/>
      <c r="AAD3" s="994"/>
      <c r="AAE3" s="994"/>
      <c r="AAF3" s="994"/>
      <c r="AAG3" s="994"/>
      <c r="AAH3" s="994"/>
      <c r="AAI3" s="994"/>
      <c r="AAJ3" s="994"/>
      <c r="AAK3" s="994"/>
      <c r="AAL3" s="994"/>
      <c r="AAM3" s="994"/>
      <c r="AAN3" s="994"/>
      <c r="AAO3" s="994"/>
      <c r="AAP3" s="994"/>
      <c r="AAQ3" s="994"/>
      <c r="AAR3" s="994"/>
      <c r="AAS3" s="994"/>
      <c r="AAT3" s="994"/>
      <c r="AAU3" s="994"/>
      <c r="AAV3" s="994"/>
      <c r="AAW3" s="994"/>
      <c r="AAX3" s="994"/>
      <c r="AAY3" s="994"/>
      <c r="AAZ3" s="994"/>
      <c r="ABA3" s="994"/>
      <c r="ABB3" s="994"/>
      <c r="ABC3" s="994"/>
      <c r="ABD3" s="994"/>
      <c r="ABE3" s="994"/>
      <c r="ABF3" s="994"/>
      <c r="ABG3" s="994"/>
      <c r="ABH3" s="994"/>
      <c r="ABI3" s="994"/>
      <c r="ABJ3" s="994"/>
      <c r="ABK3" s="994"/>
      <c r="ABL3" s="994"/>
      <c r="ABM3" s="994"/>
      <c r="ABN3" s="994"/>
      <c r="ABO3" s="994"/>
      <c r="ABP3" s="994"/>
      <c r="ABQ3" s="994"/>
      <c r="ABR3" s="994"/>
      <c r="ABS3" s="994"/>
      <c r="ABT3" s="994"/>
      <c r="ABU3" s="994"/>
      <c r="ABV3" s="994"/>
      <c r="ABW3" s="994"/>
      <c r="ABX3" s="994"/>
      <c r="ABY3" s="994"/>
      <c r="ABZ3" s="994"/>
      <c r="ACA3" s="994"/>
      <c r="ACB3" s="994"/>
      <c r="ACC3" s="994"/>
      <c r="ACD3" s="994"/>
      <c r="ACE3" s="994"/>
      <c r="ACF3" s="994"/>
      <c r="ACG3" s="994"/>
      <c r="ACH3" s="994"/>
      <c r="ACI3" s="994"/>
      <c r="ACJ3" s="994"/>
      <c r="ACK3" s="994"/>
      <c r="ACL3" s="994"/>
      <c r="ACM3" s="994"/>
      <c r="ACN3" s="994"/>
      <c r="ACO3" s="994"/>
      <c r="ACP3" s="994"/>
      <c r="ACQ3" s="994"/>
      <c r="ACR3" s="994"/>
      <c r="ACS3" s="994"/>
      <c r="ACT3" s="994"/>
      <c r="ACU3" s="994"/>
      <c r="ACV3" s="994"/>
      <c r="ACW3" s="994"/>
      <c r="ACX3" s="994"/>
      <c r="ACY3" s="994"/>
      <c r="ACZ3" s="994"/>
      <c r="ADA3" s="994"/>
      <c r="ADB3" s="994"/>
      <c r="ADC3" s="994"/>
      <c r="ADD3" s="994"/>
      <c r="ADE3" s="994"/>
      <c r="ADF3" s="994"/>
      <c r="ADG3" s="994"/>
      <c r="ADH3" s="994"/>
      <c r="ADI3" s="994"/>
      <c r="ADJ3" s="994"/>
      <c r="ADK3" s="994"/>
      <c r="ADL3" s="994"/>
      <c r="ADM3" s="994"/>
      <c r="ADN3" s="994"/>
      <c r="ADO3" s="994"/>
      <c r="ADP3" s="994"/>
      <c r="ADQ3" s="994"/>
      <c r="ADR3" s="994"/>
      <c r="ADS3" s="994"/>
      <c r="ADT3" s="994"/>
      <c r="ADU3" s="994"/>
      <c r="ADV3" s="994"/>
      <c r="ADW3" s="994"/>
      <c r="ADX3" s="994"/>
      <c r="ADY3" s="994"/>
      <c r="ADZ3" s="994"/>
      <c r="AEA3" s="994"/>
      <c r="AEB3" s="994"/>
      <c r="AEC3" s="994"/>
      <c r="AED3" s="994"/>
      <c r="AEE3" s="994"/>
      <c r="AEF3" s="994"/>
      <c r="AEG3" s="994"/>
      <c r="AEH3" s="994"/>
      <c r="AEI3" s="994"/>
      <c r="AEJ3" s="994"/>
      <c r="AEK3" s="994"/>
      <c r="AEL3" s="994"/>
      <c r="AEM3" s="994"/>
      <c r="AEN3" s="994"/>
      <c r="AEO3" s="994"/>
      <c r="AEP3" s="994"/>
      <c r="AEQ3" s="994"/>
      <c r="AER3" s="994"/>
      <c r="AES3" s="994"/>
      <c r="AET3" s="994"/>
      <c r="AEU3" s="994"/>
      <c r="AEV3" s="994"/>
      <c r="AEW3" s="994"/>
      <c r="AEX3" s="994"/>
      <c r="AEY3" s="994"/>
      <c r="AEZ3" s="994"/>
      <c r="AFA3" s="994"/>
      <c r="AFB3" s="994"/>
      <c r="AFC3" s="994"/>
      <c r="AFD3" s="994"/>
      <c r="AFE3" s="994"/>
      <c r="AFF3" s="994"/>
      <c r="AFG3" s="994"/>
      <c r="AFH3" s="994"/>
      <c r="AFI3" s="994"/>
      <c r="AFJ3" s="994"/>
      <c r="AFK3" s="994"/>
      <c r="AFL3" s="994"/>
      <c r="AFM3" s="994"/>
      <c r="AFN3" s="994"/>
      <c r="AFO3" s="994"/>
      <c r="AFP3" s="994"/>
      <c r="AFQ3" s="994"/>
      <c r="AFR3" s="994"/>
      <c r="AFS3" s="994"/>
      <c r="AFT3" s="994"/>
      <c r="AFU3" s="994"/>
      <c r="AFV3" s="994"/>
      <c r="AFW3" s="994"/>
      <c r="AFX3" s="994"/>
      <c r="AFY3" s="994"/>
      <c r="AFZ3" s="994"/>
      <c r="AGA3" s="994"/>
      <c r="AGB3" s="994"/>
      <c r="AGC3" s="994"/>
      <c r="AGD3" s="994"/>
      <c r="AGE3" s="994"/>
      <c r="AGF3" s="994"/>
      <c r="AGG3" s="994"/>
      <c r="AGH3" s="994"/>
      <c r="AGI3" s="994"/>
      <c r="AGJ3" s="994"/>
      <c r="AGK3" s="994"/>
      <c r="AGL3" s="994"/>
      <c r="AGM3" s="994"/>
      <c r="AGN3" s="994"/>
      <c r="AGO3" s="994"/>
      <c r="AGP3" s="994"/>
      <c r="AGQ3" s="994"/>
      <c r="AGR3" s="994"/>
      <c r="AGS3" s="994"/>
      <c r="AGT3" s="994"/>
      <c r="AGU3" s="994"/>
      <c r="AGV3" s="994"/>
      <c r="AGW3" s="994"/>
      <c r="AGX3" s="994"/>
      <c r="AGY3" s="994"/>
      <c r="AGZ3" s="994"/>
      <c r="AHA3" s="994"/>
      <c r="AHB3" s="994"/>
      <c r="AHC3" s="994"/>
      <c r="AHD3" s="994"/>
      <c r="AHE3" s="994"/>
      <c r="AHF3" s="994"/>
      <c r="AHG3" s="994"/>
      <c r="AHH3" s="994"/>
      <c r="AHI3" s="994"/>
      <c r="AHJ3" s="994"/>
      <c r="AHK3" s="994"/>
      <c r="AHL3" s="994"/>
      <c r="AHM3" s="994"/>
      <c r="AHN3" s="994"/>
      <c r="AHO3" s="994"/>
      <c r="AHP3" s="994"/>
      <c r="AHQ3" s="994"/>
      <c r="AHR3" s="994"/>
      <c r="AHS3" s="994"/>
      <c r="AHT3" s="994"/>
      <c r="AHU3" s="994"/>
      <c r="AHV3" s="994"/>
      <c r="AHW3" s="994"/>
      <c r="AHX3" s="994"/>
      <c r="AHY3" s="994"/>
      <c r="AHZ3" s="994"/>
      <c r="AIA3" s="994"/>
      <c r="AIB3" s="994"/>
      <c r="AIC3" s="994"/>
      <c r="AID3" s="994"/>
      <c r="AIE3" s="994"/>
      <c r="AIF3" s="994"/>
      <c r="AIG3" s="994"/>
      <c r="AIH3" s="994"/>
      <c r="AII3" s="994"/>
      <c r="AIJ3" s="994"/>
      <c r="AIK3" s="994"/>
      <c r="AIL3" s="994"/>
      <c r="AIM3" s="994"/>
      <c r="AIN3" s="994"/>
      <c r="AIO3" s="994"/>
      <c r="AIP3" s="994"/>
      <c r="AIQ3" s="994"/>
      <c r="AIR3" s="994"/>
      <c r="AIS3" s="994"/>
      <c r="AIT3" s="994"/>
      <c r="AIU3" s="994"/>
      <c r="AIV3" s="994"/>
      <c r="AIW3" s="994"/>
      <c r="AIX3" s="994"/>
      <c r="AIY3" s="994"/>
      <c r="AIZ3" s="994"/>
      <c r="AJA3" s="994"/>
      <c r="AJB3" s="994"/>
      <c r="AJC3" s="994"/>
      <c r="AJD3" s="994"/>
      <c r="AJE3" s="994"/>
      <c r="AJF3" s="994"/>
      <c r="AJG3" s="994"/>
      <c r="AJH3" s="994"/>
      <c r="AJI3" s="994"/>
      <c r="AJJ3" s="994"/>
      <c r="AJK3" s="994"/>
      <c r="AJL3" s="994"/>
      <c r="AJM3" s="994"/>
      <c r="AJN3" s="994"/>
      <c r="AJO3" s="994"/>
      <c r="AJP3" s="994"/>
      <c r="AJQ3" s="994"/>
      <c r="AJR3" s="994"/>
      <c r="AJS3" s="994"/>
      <c r="AJT3" s="994"/>
      <c r="AJU3" s="994"/>
      <c r="AJV3" s="994"/>
      <c r="AJW3" s="994"/>
      <c r="AJX3" s="994"/>
      <c r="AJY3" s="994"/>
      <c r="AJZ3" s="994"/>
      <c r="AKA3" s="994"/>
      <c r="AKB3" s="994"/>
      <c r="AKC3" s="994"/>
      <c r="AKD3" s="994"/>
      <c r="AKE3" s="994"/>
      <c r="AKF3" s="994"/>
      <c r="AKG3" s="994"/>
      <c r="AKH3" s="994"/>
      <c r="AKI3" s="994"/>
      <c r="AKJ3" s="994"/>
      <c r="AKK3" s="994"/>
      <c r="AKL3" s="994"/>
      <c r="AKM3" s="994"/>
      <c r="AKN3" s="994"/>
      <c r="AKO3" s="994"/>
      <c r="AKP3" s="994"/>
      <c r="AKQ3" s="994"/>
      <c r="AKR3" s="994"/>
      <c r="AKS3" s="994"/>
      <c r="AKT3" s="994"/>
      <c r="AKU3" s="994"/>
      <c r="AKV3" s="994"/>
      <c r="AKW3" s="994"/>
      <c r="AKX3" s="994"/>
      <c r="AKY3" s="994"/>
      <c r="AKZ3" s="994"/>
      <c r="ALA3" s="994"/>
      <c r="ALB3" s="994"/>
      <c r="ALC3" s="994"/>
      <c r="ALD3" s="994"/>
      <c r="ALE3" s="994"/>
      <c r="ALF3" s="994"/>
      <c r="ALG3" s="994"/>
      <c r="ALH3" s="994"/>
      <c r="ALI3" s="994"/>
      <c r="ALJ3" s="994"/>
      <c r="ALK3" s="994"/>
      <c r="ALL3" s="994"/>
      <c r="ALM3" s="994"/>
      <c r="ALN3" s="994"/>
      <c r="ALO3" s="994"/>
      <c r="ALP3" s="994"/>
      <c r="ALQ3" s="994"/>
      <c r="ALR3" s="994"/>
      <c r="ALS3" s="994"/>
      <c r="ALT3" s="994"/>
      <c r="ALU3" s="994"/>
      <c r="ALV3" s="994"/>
      <c r="ALW3" s="994"/>
      <c r="ALX3" s="994"/>
      <c r="ALY3" s="994"/>
      <c r="ALZ3" s="994"/>
      <c r="AMA3" s="994"/>
      <c r="AMB3" s="994"/>
      <c r="AMC3" s="994"/>
      <c r="AMD3" s="994"/>
      <c r="AME3" s="994"/>
      <c r="AMF3" s="994"/>
      <c r="AMG3" s="994"/>
      <c r="AMH3" s="994"/>
      <c r="AMI3" s="994"/>
      <c r="AMJ3" s="994"/>
      <c r="AMK3" s="994"/>
      <c r="AML3" s="994"/>
      <c r="AMM3" s="994"/>
      <c r="AMN3" s="994"/>
      <c r="AMO3" s="994"/>
      <c r="AMP3" s="994"/>
      <c r="AMQ3" s="994"/>
      <c r="AMR3" s="994"/>
      <c r="AMS3" s="994"/>
      <c r="AMT3" s="994"/>
      <c r="AMU3" s="994"/>
      <c r="AMV3" s="994"/>
      <c r="AMW3" s="994"/>
      <c r="AMX3" s="994"/>
      <c r="AMY3" s="994"/>
      <c r="AMZ3" s="994"/>
      <c r="ANA3" s="994"/>
      <c r="ANB3" s="994"/>
      <c r="ANC3" s="994"/>
      <c r="AND3" s="994"/>
      <c r="ANE3" s="994"/>
      <c r="ANF3" s="994"/>
      <c r="ANG3" s="994"/>
      <c r="ANH3" s="994"/>
      <c r="ANI3" s="994"/>
      <c r="ANJ3" s="994"/>
      <c r="ANK3" s="994"/>
      <c r="ANL3" s="994"/>
      <c r="ANM3" s="994"/>
      <c r="ANN3" s="994"/>
      <c r="ANO3" s="994"/>
      <c r="ANP3" s="994"/>
      <c r="ANQ3" s="994"/>
      <c r="ANR3" s="994"/>
      <c r="ANS3" s="994"/>
      <c r="ANT3" s="994"/>
      <c r="ANU3" s="994"/>
      <c r="ANV3" s="994"/>
      <c r="ANW3" s="994"/>
      <c r="ANX3" s="994"/>
      <c r="ANY3" s="994"/>
      <c r="ANZ3" s="994"/>
      <c r="AOA3" s="994"/>
      <c r="AOB3" s="994"/>
      <c r="AOC3" s="994"/>
      <c r="AOD3" s="994"/>
      <c r="AOE3" s="994"/>
      <c r="AOF3" s="994"/>
      <c r="AOG3" s="994"/>
      <c r="AOH3" s="994"/>
      <c r="AOI3" s="994"/>
      <c r="AOJ3" s="994"/>
      <c r="AOK3" s="994"/>
      <c r="AOL3" s="994"/>
      <c r="AOM3" s="994"/>
      <c r="AON3" s="994"/>
      <c r="AOO3" s="994"/>
      <c r="AOP3" s="994"/>
      <c r="AOQ3" s="994"/>
      <c r="AOR3" s="994"/>
      <c r="AOS3" s="994"/>
      <c r="AOT3" s="994"/>
      <c r="AOU3" s="994"/>
      <c r="AOV3" s="994"/>
      <c r="AOW3" s="994"/>
      <c r="AOX3" s="994"/>
      <c r="AOY3" s="994"/>
      <c r="AOZ3" s="994"/>
      <c r="APA3" s="994"/>
      <c r="APB3" s="994"/>
      <c r="APC3" s="994"/>
      <c r="APD3" s="994"/>
      <c r="APE3" s="994"/>
      <c r="APF3" s="994"/>
      <c r="APG3" s="994"/>
      <c r="APH3" s="994"/>
      <c r="API3" s="994"/>
      <c r="APJ3" s="994"/>
      <c r="APK3" s="994"/>
      <c r="APL3" s="994"/>
      <c r="APM3" s="994"/>
      <c r="APN3" s="994"/>
      <c r="APO3" s="994"/>
      <c r="APP3" s="994"/>
      <c r="APQ3" s="994"/>
      <c r="APR3" s="994"/>
      <c r="APS3" s="994"/>
      <c r="APT3" s="994"/>
      <c r="APU3" s="994"/>
      <c r="APV3" s="994"/>
      <c r="APW3" s="994"/>
      <c r="APX3" s="994"/>
      <c r="APY3" s="994"/>
      <c r="APZ3" s="994"/>
      <c r="AQA3" s="994"/>
      <c r="AQB3" s="994"/>
      <c r="AQC3" s="994"/>
      <c r="AQD3" s="994"/>
      <c r="AQE3" s="994"/>
      <c r="AQF3" s="994"/>
      <c r="AQG3" s="994"/>
      <c r="AQH3" s="994"/>
      <c r="AQI3" s="994"/>
      <c r="AQJ3" s="994"/>
      <c r="AQK3" s="994"/>
      <c r="AQL3" s="994"/>
      <c r="AQM3" s="994"/>
      <c r="AQN3" s="994"/>
      <c r="AQO3" s="994"/>
      <c r="AQP3" s="994"/>
      <c r="AQQ3" s="994"/>
      <c r="AQR3" s="994"/>
      <c r="AQS3" s="994"/>
      <c r="AQT3" s="994"/>
      <c r="AQU3" s="994"/>
      <c r="AQV3" s="994"/>
      <c r="AQW3" s="994"/>
      <c r="AQX3" s="994"/>
      <c r="AQY3" s="994"/>
      <c r="AQZ3" s="994"/>
      <c r="ARA3" s="994"/>
      <c r="ARB3" s="994"/>
      <c r="ARC3" s="994"/>
      <c r="ARD3" s="994"/>
      <c r="ARE3" s="994"/>
      <c r="ARF3" s="994"/>
      <c r="ARG3" s="994"/>
      <c r="ARH3" s="994"/>
      <c r="ARI3" s="994"/>
      <c r="ARJ3" s="994"/>
      <c r="ARK3" s="994"/>
      <c r="ARL3" s="994"/>
      <c r="ARM3" s="994"/>
      <c r="ARN3" s="994"/>
      <c r="ARO3" s="994"/>
      <c r="ARP3" s="994"/>
      <c r="ARQ3" s="994"/>
      <c r="ARR3" s="994"/>
      <c r="ARS3" s="994"/>
      <c r="ART3" s="994"/>
      <c r="ARU3" s="994"/>
      <c r="ARV3" s="994"/>
      <c r="ARW3" s="994"/>
      <c r="ARX3" s="994"/>
      <c r="ARY3" s="994"/>
      <c r="ARZ3" s="994"/>
      <c r="ASA3" s="994"/>
      <c r="ASB3" s="994"/>
      <c r="ASC3" s="994"/>
      <c r="ASD3" s="994"/>
      <c r="ASE3" s="994"/>
      <c r="ASF3" s="994"/>
      <c r="ASG3" s="994"/>
      <c r="ASH3" s="994"/>
      <c r="ASI3" s="994"/>
      <c r="ASJ3" s="994"/>
      <c r="ASK3" s="994"/>
      <c r="ASL3" s="994"/>
      <c r="ASM3" s="994"/>
      <c r="ASN3" s="994"/>
      <c r="ASO3" s="994"/>
      <c r="ASP3" s="994"/>
      <c r="ASQ3" s="994"/>
      <c r="ASR3" s="994"/>
      <c r="ASS3" s="994"/>
      <c r="AST3" s="994"/>
      <c r="ASU3" s="994"/>
      <c r="ASV3" s="994"/>
      <c r="ASW3" s="994"/>
      <c r="ASX3" s="994"/>
      <c r="ASY3" s="994"/>
      <c r="ASZ3" s="994"/>
      <c r="ATA3" s="994"/>
      <c r="ATB3" s="994"/>
      <c r="ATC3" s="994"/>
      <c r="ATD3" s="994"/>
      <c r="ATE3" s="994"/>
      <c r="ATF3" s="994"/>
      <c r="ATG3" s="994"/>
      <c r="ATH3" s="994"/>
      <c r="ATI3" s="994"/>
      <c r="ATJ3" s="994"/>
      <c r="ATK3" s="994"/>
      <c r="ATL3" s="994"/>
      <c r="ATM3" s="994"/>
      <c r="ATN3" s="994"/>
      <c r="ATO3" s="994"/>
      <c r="ATP3" s="994"/>
      <c r="ATQ3" s="994"/>
      <c r="ATR3" s="994"/>
      <c r="ATS3" s="994"/>
      <c r="ATT3" s="994"/>
      <c r="ATU3" s="994"/>
      <c r="ATV3" s="994"/>
      <c r="ATW3" s="994"/>
      <c r="ATX3" s="994"/>
      <c r="ATY3" s="994"/>
      <c r="ATZ3" s="994"/>
      <c r="AUA3" s="994"/>
      <c r="AUB3" s="994"/>
      <c r="AUC3" s="994"/>
      <c r="AUD3" s="994"/>
      <c r="AUE3" s="994"/>
      <c r="AUF3" s="994"/>
      <c r="AUG3" s="994"/>
      <c r="AUH3" s="994"/>
      <c r="AUI3" s="994"/>
      <c r="AUJ3" s="994"/>
      <c r="AUK3" s="994"/>
      <c r="AUL3" s="994"/>
      <c r="AUM3" s="994"/>
      <c r="AUN3" s="994"/>
      <c r="AUO3" s="994"/>
      <c r="AUP3" s="994"/>
      <c r="AUQ3" s="994"/>
      <c r="AUR3" s="994"/>
      <c r="AUS3" s="994"/>
      <c r="AUT3" s="994"/>
      <c r="AUU3" s="994"/>
      <c r="AUV3" s="994"/>
      <c r="AUW3" s="994"/>
      <c r="AUX3" s="994"/>
      <c r="AUY3" s="994"/>
      <c r="AUZ3" s="994"/>
      <c r="AVA3" s="994"/>
      <c r="AVB3" s="994"/>
      <c r="AVC3" s="994"/>
      <c r="AVD3" s="994"/>
      <c r="AVE3" s="994"/>
      <c r="AVF3" s="994"/>
      <c r="AVG3" s="994"/>
      <c r="AVH3" s="994"/>
      <c r="AVI3" s="994"/>
      <c r="AVJ3" s="994"/>
      <c r="AVK3" s="994"/>
      <c r="AVL3" s="994"/>
      <c r="AVM3" s="994"/>
      <c r="AVN3" s="994"/>
      <c r="AVO3" s="994"/>
      <c r="AVP3" s="994"/>
      <c r="AVQ3" s="994"/>
      <c r="AVR3" s="994"/>
      <c r="AVS3" s="994"/>
      <c r="AVT3" s="994"/>
      <c r="AVU3" s="994"/>
      <c r="AVV3" s="994"/>
      <c r="AVW3" s="994"/>
      <c r="AVX3" s="994"/>
      <c r="AVY3" s="994"/>
      <c r="AVZ3" s="994"/>
      <c r="AWA3" s="994"/>
      <c r="AWB3" s="994"/>
      <c r="AWC3" s="994"/>
      <c r="AWD3" s="994"/>
      <c r="AWE3" s="994"/>
      <c r="AWF3" s="994"/>
      <c r="AWG3" s="994"/>
      <c r="AWH3" s="994"/>
      <c r="AWI3" s="994"/>
      <c r="AWJ3" s="994"/>
      <c r="AWK3" s="994"/>
      <c r="AWL3" s="994"/>
      <c r="AWM3" s="994"/>
      <c r="AWN3" s="994"/>
      <c r="AWO3" s="994"/>
      <c r="AWP3" s="994"/>
      <c r="AWQ3" s="994"/>
      <c r="AWR3" s="994"/>
      <c r="AWS3" s="994"/>
      <c r="AWT3" s="994"/>
      <c r="AWU3" s="994"/>
      <c r="AWV3" s="994"/>
      <c r="AWW3" s="994"/>
      <c r="AWX3" s="994"/>
      <c r="AWY3" s="994"/>
      <c r="AWZ3" s="994"/>
      <c r="AXA3" s="994"/>
      <c r="AXB3" s="994"/>
      <c r="AXC3" s="994"/>
      <c r="AXD3" s="994"/>
      <c r="AXE3" s="994"/>
      <c r="AXF3" s="994"/>
      <c r="AXG3" s="994"/>
      <c r="AXH3" s="994"/>
      <c r="AXI3" s="994"/>
      <c r="AXJ3" s="994"/>
      <c r="AXK3" s="994"/>
      <c r="AXL3" s="994"/>
      <c r="AXM3" s="994"/>
      <c r="AXN3" s="994"/>
      <c r="AXO3" s="994"/>
      <c r="AXP3" s="994"/>
      <c r="AXQ3" s="994"/>
      <c r="AXR3" s="994"/>
      <c r="AXS3" s="994"/>
      <c r="AXT3" s="994"/>
      <c r="AXU3" s="994"/>
      <c r="AXV3" s="994"/>
      <c r="AXW3" s="994"/>
      <c r="AXX3" s="994"/>
      <c r="AXY3" s="994"/>
      <c r="AXZ3" s="994"/>
      <c r="AYA3" s="994"/>
      <c r="AYB3" s="994"/>
      <c r="AYC3" s="994"/>
      <c r="AYD3" s="994"/>
      <c r="AYE3" s="994"/>
      <c r="AYF3" s="994"/>
      <c r="AYG3" s="994"/>
      <c r="AYH3" s="994"/>
      <c r="AYI3" s="994"/>
      <c r="AYJ3" s="994"/>
      <c r="AYK3" s="994"/>
      <c r="AYL3" s="994"/>
      <c r="AYM3" s="994"/>
      <c r="AYN3" s="994"/>
      <c r="AYO3" s="994"/>
      <c r="AYP3" s="994"/>
      <c r="AYQ3" s="994"/>
      <c r="AYR3" s="994"/>
      <c r="AYS3" s="994"/>
      <c r="AYT3" s="994"/>
      <c r="AYU3" s="994"/>
      <c r="AYV3" s="994"/>
      <c r="AYW3" s="994"/>
      <c r="AYX3" s="994"/>
      <c r="AYY3" s="994"/>
      <c r="AYZ3" s="994"/>
      <c r="AZA3" s="994"/>
      <c r="AZB3" s="994"/>
      <c r="AZC3" s="994"/>
      <c r="AZD3" s="994"/>
      <c r="AZE3" s="994"/>
      <c r="AZF3" s="994"/>
      <c r="AZG3" s="994"/>
      <c r="AZH3" s="994"/>
      <c r="AZI3" s="994"/>
      <c r="AZJ3" s="994"/>
      <c r="AZK3" s="994"/>
      <c r="AZL3" s="994"/>
      <c r="AZM3" s="994"/>
      <c r="AZN3" s="994"/>
      <c r="AZO3" s="994"/>
      <c r="AZP3" s="994"/>
      <c r="AZQ3" s="994"/>
      <c r="AZR3" s="994"/>
      <c r="AZS3" s="994"/>
      <c r="AZT3" s="994"/>
      <c r="AZU3" s="994"/>
      <c r="AZV3" s="994"/>
      <c r="AZW3" s="994"/>
      <c r="AZX3" s="994"/>
      <c r="AZY3" s="994"/>
      <c r="AZZ3" s="994"/>
      <c r="BAA3" s="994"/>
      <c r="BAB3" s="994"/>
      <c r="BAC3" s="994"/>
      <c r="BAD3" s="994"/>
      <c r="BAE3" s="994"/>
      <c r="BAF3" s="994"/>
      <c r="BAG3" s="994"/>
      <c r="BAH3" s="994"/>
      <c r="BAI3" s="994"/>
      <c r="BAJ3" s="994"/>
      <c r="BAK3" s="994"/>
      <c r="BAL3" s="994"/>
      <c r="BAM3" s="994"/>
      <c r="BAN3" s="994"/>
      <c r="BAO3" s="994"/>
      <c r="BAP3" s="994"/>
      <c r="BAQ3" s="994"/>
      <c r="BAR3" s="994"/>
      <c r="BAS3" s="994"/>
      <c r="BAT3" s="994"/>
      <c r="BAU3" s="994"/>
      <c r="BAV3" s="994"/>
      <c r="BAW3" s="994"/>
      <c r="BAX3" s="994"/>
      <c r="BAY3" s="994"/>
      <c r="BAZ3" s="994"/>
      <c r="BBA3" s="994"/>
      <c r="BBB3" s="994"/>
      <c r="BBC3" s="994"/>
      <c r="BBD3" s="994"/>
      <c r="BBE3" s="994"/>
      <c r="BBF3" s="994"/>
      <c r="BBG3" s="994"/>
      <c r="BBH3" s="994"/>
      <c r="BBI3" s="994"/>
      <c r="BBJ3" s="994"/>
      <c r="BBK3" s="994"/>
      <c r="BBL3" s="994"/>
      <c r="BBM3" s="994"/>
      <c r="BBN3" s="994"/>
      <c r="BBO3" s="994"/>
      <c r="BBP3" s="994"/>
      <c r="BBQ3" s="994"/>
      <c r="BBR3" s="994"/>
      <c r="BBS3" s="994"/>
      <c r="BBT3" s="994"/>
      <c r="BBU3" s="994"/>
      <c r="BBV3" s="994"/>
      <c r="BBW3" s="994"/>
      <c r="BBX3" s="994"/>
      <c r="BBY3" s="994"/>
      <c r="BBZ3" s="994"/>
      <c r="BCA3" s="994"/>
      <c r="BCB3" s="994"/>
      <c r="BCC3" s="994"/>
      <c r="BCD3" s="994"/>
      <c r="BCE3" s="994"/>
      <c r="BCF3" s="994"/>
      <c r="BCG3" s="994"/>
      <c r="BCH3" s="994"/>
      <c r="BCI3" s="994"/>
      <c r="BCJ3" s="994"/>
      <c r="BCK3" s="994"/>
      <c r="BCL3" s="994"/>
      <c r="BCM3" s="994"/>
      <c r="BCN3" s="994"/>
      <c r="BCO3" s="994"/>
      <c r="BCP3" s="994"/>
      <c r="BCQ3" s="994"/>
      <c r="BCR3" s="994"/>
      <c r="BCS3" s="994"/>
      <c r="BCT3" s="994"/>
      <c r="BCU3" s="994"/>
      <c r="BCV3" s="994"/>
      <c r="BCW3" s="994"/>
      <c r="BCX3" s="994"/>
      <c r="BCY3" s="994"/>
      <c r="BCZ3" s="994"/>
      <c r="BDA3" s="994"/>
      <c r="BDB3" s="994"/>
      <c r="BDC3" s="994"/>
      <c r="BDD3" s="994"/>
      <c r="BDE3" s="994"/>
      <c r="BDF3" s="994"/>
      <c r="BDG3" s="994"/>
      <c r="BDH3" s="994"/>
      <c r="BDI3" s="994"/>
      <c r="BDJ3" s="994"/>
      <c r="BDK3" s="994"/>
      <c r="BDL3" s="994"/>
      <c r="BDM3" s="994"/>
      <c r="BDN3" s="994"/>
      <c r="BDO3" s="994"/>
      <c r="BDP3" s="994"/>
      <c r="BDQ3" s="994"/>
      <c r="BDR3" s="994"/>
      <c r="BDS3" s="994"/>
      <c r="BDT3" s="994"/>
      <c r="BDU3" s="994"/>
      <c r="BDV3" s="994"/>
      <c r="BDW3" s="994"/>
      <c r="BDX3" s="994"/>
      <c r="BDY3" s="994"/>
      <c r="BDZ3" s="994"/>
      <c r="BEA3" s="994"/>
      <c r="BEB3" s="994"/>
      <c r="BEC3" s="994"/>
      <c r="BED3" s="994"/>
      <c r="BEE3" s="994"/>
      <c r="BEF3" s="994"/>
      <c r="BEG3" s="994"/>
      <c r="BEH3" s="994"/>
      <c r="BEI3" s="994"/>
      <c r="BEJ3" s="994"/>
      <c r="BEK3" s="994"/>
      <c r="BEL3" s="994"/>
      <c r="BEM3" s="994"/>
      <c r="BEN3" s="994"/>
      <c r="BEO3" s="994"/>
      <c r="BEP3" s="994"/>
      <c r="BEQ3" s="994"/>
      <c r="BER3" s="994"/>
      <c r="BES3" s="994"/>
      <c r="BET3" s="994"/>
      <c r="BEU3" s="994"/>
      <c r="BEV3" s="994"/>
      <c r="BEW3" s="994"/>
      <c r="BEX3" s="994"/>
      <c r="BEY3" s="994"/>
      <c r="BEZ3" s="994"/>
      <c r="BFA3" s="994"/>
      <c r="BFB3" s="994"/>
      <c r="BFC3" s="994"/>
      <c r="BFD3" s="994"/>
      <c r="BFE3" s="994"/>
      <c r="BFF3" s="994"/>
      <c r="BFG3" s="994"/>
      <c r="BFH3" s="994"/>
      <c r="BFI3" s="994"/>
      <c r="BFJ3" s="994"/>
      <c r="BFK3" s="994"/>
      <c r="BFL3" s="994"/>
      <c r="BFM3" s="994"/>
      <c r="BFN3" s="994"/>
      <c r="BFO3" s="994"/>
      <c r="BFP3" s="994"/>
      <c r="BFQ3" s="994"/>
      <c r="BFR3" s="994"/>
      <c r="BFS3" s="994"/>
      <c r="BFT3" s="994"/>
      <c r="BFU3" s="994"/>
      <c r="BFV3" s="994"/>
      <c r="BFW3" s="994"/>
      <c r="BFX3" s="994"/>
      <c r="BFY3" s="994"/>
      <c r="BFZ3" s="994"/>
      <c r="BGA3" s="994"/>
      <c r="BGB3" s="994"/>
      <c r="BGC3" s="994"/>
      <c r="BGD3" s="994"/>
      <c r="BGE3" s="994"/>
      <c r="BGF3" s="994"/>
      <c r="BGG3" s="994"/>
      <c r="BGH3" s="994"/>
      <c r="BGI3" s="994"/>
      <c r="BGJ3" s="994"/>
      <c r="BGK3" s="994"/>
      <c r="BGL3" s="994"/>
      <c r="BGM3" s="994"/>
      <c r="BGN3" s="994"/>
      <c r="BGO3" s="994"/>
      <c r="BGP3" s="994"/>
      <c r="BGQ3" s="994"/>
      <c r="BGR3" s="994"/>
      <c r="BGS3" s="994"/>
      <c r="BGT3" s="994"/>
      <c r="BGU3" s="994"/>
      <c r="BGV3" s="994"/>
      <c r="BGW3" s="994"/>
      <c r="BGX3" s="994"/>
      <c r="BGY3" s="994"/>
      <c r="BGZ3" s="994"/>
      <c r="BHA3" s="994"/>
      <c r="BHB3" s="994"/>
      <c r="BHC3" s="994"/>
      <c r="BHD3" s="994"/>
      <c r="BHE3" s="994"/>
      <c r="BHF3" s="994"/>
      <c r="BHG3" s="994"/>
      <c r="BHH3" s="994"/>
      <c r="BHI3" s="994"/>
      <c r="BHJ3" s="994"/>
      <c r="BHK3" s="994"/>
      <c r="BHL3" s="994"/>
      <c r="BHM3" s="994"/>
      <c r="BHN3" s="994"/>
      <c r="BHO3" s="994"/>
      <c r="BHP3" s="994"/>
      <c r="BHQ3" s="994"/>
      <c r="BHR3" s="994"/>
      <c r="BHS3" s="994"/>
      <c r="BHT3" s="994"/>
      <c r="BHU3" s="994"/>
      <c r="BHV3" s="994"/>
      <c r="BHW3" s="994"/>
      <c r="BHX3" s="994"/>
      <c r="BHY3" s="994"/>
      <c r="BHZ3" s="994"/>
      <c r="BIA3" s="994"/>
      <c r="BIB3" s="994"/>
      <c r="BIC3" s="994"/>
      <c r="BID3" s="994"/>
      <c r="BIE3" s="994"/>
      <c r="BIF3" s="994"/>
      <c r="BIG3" s="994"/>
      <c r="BIH3" s="994"/>
      <c r="BII3" s="994"/>
      <c r="BIJ3" s="994"/>
      <c r="BIK3" s="994"/>
      <c r="BIL3" s="994"/>
      <c r="BIM3" s="994"/>
      <c r="BIN3" s="994"/>
      <c r="BIO3" s="994"/>
      <c r="BIP3" s="994"/>
      <c r="BIQ3" s="994"/>
      <c r="BIR3" s="994"/>
      <c r="BIS3" s="994"/>
      <c r="BIT3" s="994"/>
      <c r="BIU3" s="994"/>
      <c r="BIV3" s="994"/>
      <c r="BIW3" s="994"/>
      <c r="BIX3" s="994"/>
      <c r="BIY3" s="994"/>
      <c r="BIZ3" s="994"/>
      <c r="BJA3" s="994"/>
      <c r="BJB3" s="994"/>
      <c r="BJC3" s="994"/>
      <c r="BJD3" s="994"/>
      <c r="BJE3" s="994"/>
      <c r="BJF3" s="994"/>
      <c r="BJG3" s="994"/>
      <c r="BJH3" s="994"/>
      <c r="BJI3" s="994"/>
      <c r="BJJ3" s="994"/>
      <c r="BJK3" s="994"/>
      <c r="BJL3" s="994"/>
      <c r="BJM3" s="994"/>
      <c r="BJN3" s="994"/>
      <c r="BJO3" s="994"/>
      <c r="BJP3" s="994"/>
      <c r="BJQ3" s="994"/>
      <c r="BJR3" s="994"/>
      <c r="BJS3" s="994"/>
      <c r="BJT3" s="994"/>
      <c r="BJU3" s="994"/>
      <c r="BJV3" s="994"/>
      <c r="BJW3" s="994"/>
      <c r="BJX3" s="994"/>
      <c r="BJY3" s="994"/>
      <c r="BJZ3" s="994"/>
      <c r="BKA3" s="994"/>
      <c r="BKB3" s="994"/>
      <c r="BKC3" s="994"/>
      <c r="BKD3" s="994"/>
      <c r="BKE3" s="994"/>
      <c r="BKF3" s="994"/>
      <c r="BKG3" s="994"/>
      <c r="BKH3" s="994"/>
      <c r="BKI3" s="994"/>
      <c r="BKJ3" s="994"/>
      <c r="BKK3" s="994"/>
      <c r="BKL3" s="994"/>
      <c r="BKM3" s="994"/>
      <c r="BKN3" s="994"/>
      <c r="BKO3" s="994"/>
      <c r="BKP3" s="994"/>
      <c r="BKQ3" s="994"/>
      <c r="BKR3" s="994"/>
      <c r="BKS3" s="994"/>
      <c r="BKT3" s="994"/>
      <c r="BKU3" s="994"/>
      <c r="BKV3" s="994"/>
      <c r="BKW3" s="994"/>
      <c r="BKX3" s="994"/>
      <c r="BKY3" s="994"/>
      <c r="BKZ3" s="994"/>
      <c r="BLA3" s="994"/>
      <c r="BLB3" s="994"/>
      <c r="BLC3" s="994"/>
      <c r="BLD3" s="994"/>
      <c r="BLE3" s="994"/>
      <c r="BLF3" s="994"/>
      <c r="BLG3" s="994"/>
      <c r="BLH3" s="994"/>
      <c r="BLI3" s="994"/>
      <c r="BLJ3" s="994"/>
      <c r="BLK3" s="994"/>
      <c r="BLL3" s="994"/>
      <c r="BLM3" s="994"/>
      <c r="BLN3" s="994"/>
      <c r="BLO3" s="994"/>
      <c r="BLP3" s="994"/>
      <c r="BLQ3" s="994"/>
      <c r="BLR3" s="994"/>
      <c r="BLS3" s="994"/>
      <c r="BLT3" s="994"/>
      <c r="BLU3" s="994"/>
      <c r="BLV3" s="994"/>
      <c r="BLW3" s="994"/>
      <c r="BLX3" s="994"/>
      <c r="BLY3" s="994"/>
      <c r="BLZ3" s="994"/>
      <c r="BMA3" s="994"/>
      <c r="BMB3" s="994"/>
      <c r="BMC3" s="994"/>
      <c r="BMD3" s="994"/>
      <c r="BME3" s="994"/>
      <c r="BMF3" s="994"/>
      <c r="BMG3" s="994"/>
      <c r="BMH3" s="994"/>
      <c r="BMI3" s="994"/>
      <c r="BMJ3" s="994"/>
      <c r="BMK3" s="994"/>
      <c r="BML3" s="994"/>
      <c r="BMM3" s="994"/>
      <c r="BMN3" s="994"/>
      <c r="BMO3" s="994"/>
      <c r="BMP3" s="994"/>
      <c r="BMQ3" s="994"/>
      <c r="BMR3" s="994"/>
      <c r="BMS3" s="994"/>
      <c r="BMT3" s="994"/>
      <c r="BMU3" s="994"/>
      <c r="BMV3" s="994"/>
      <c r="BMW3" s="994"/>
      <c r="BMX3" s="994"/>
      <c r="BMY3" s="994"/>
      <c r="BMZ3" s="994"/>
      <c r="BNA3" s="994"/>
      <c r="BNB3" s="994"/>
      <c r="BNC3" s="994"/>
      <c r="BND3" s="994"/>
      <c r="BNE3" s="994"/>
      <c r="BNF3" s="994"/>
      <c r="BNG3" s="994"/>
      <c r="BNH3" s="994"/>
      <c r="BNI3" s="994"/>
      <c r="BNJ3" s="994"/>
      <c r="BNK3" s="994"/>
      <c r="BNL3" s="994"/>
      <c r="BNM3" s="994"/>
      <c r="BNN3" s="994"/>
      <c r="BNO3" s="994"/>
      <c r="BNP3" s="994"/>
      <c r="BNQ3" s="994"/>
      <c r="BNR3" s="994"/>
      <c r="BNS3" s="994"/>
      <c r="BNT3" s="994"/>
      <c r="BNU3" s="994"/>
      <c r="BNV3" s="994"/>
      <c r="BNW3" s="994"/>
      <c r="BNX3" s="994"/>
      <c r="BNY3" s="994"/>
      <c r="BNZ3" s="994"/>
      <c r="BOA3" s="994"/>
      <c r="BOB3" s="994"/>
      <c r="BOC3" s="994"/>
      <c r="BOD3" s="994"/>
      <c r="BOE3" s="994"/>
      <c r="BOF3" s="994"/>
      <c r="BOG3" s="994"/>
      <c r="BOH3" s="994"/>
      <c r="BOI3" s="994"/>
      <c r="BOJ3" s="994"/>
      <c r="BOK3" s="994"/>
      <c r="BOL3" s="994"/>
      <c r="BOM3" s="994"/>
      <c r="BON3" s="994"/>
      <c r="BOO3" s="994"/>
      <c r="BOP3" s="994"/>
      <c r="BOQ3" s="994"/>
      <c r="BOR3" s="994"/>
      <c r="BOS3" s="994"/>
      <c r="BOT3" s="994"/>
      <c r="BOU3" s="994"/>
      <c r="BOV3" s="994"/>
      <c r="BOW3" s="994"/>
      <c r="BOX3" s="994"/>
      <c r="BOY3" s="994"/>
      <c r="BOZ3" s="994"/>
      <c r="BPA3" s="994"/>
      <c r="BPB3" s="994"/>
      <c r="BPC3" s="994"/>
      <c r="BPD3" s="994"/>
      <c r="BPE3" s="994"/>
      <c r="BPF3" s="994"/>
      <c r="BPG3" s="994"/>
      <c r="BPH3" s="994"/>
      <c r="BPI3" s="994"/>
      <c r="BPJ3" s="994"/>
      <c r="BPK3" s="994"/>
      <c r="BPL3" s="994"/>
      <c r="BPM3" s="994"/>
      <c r="BPN3" s="994"/>
      <c r="BPO3" s="994"/>
      <c r="BPP3" s="994"/>
      <c r="BPQ3" s="994"/>
      <c r="BPR3" s="994"/>
      <c r="BPS3" s="994"/>
      <c r="BPT3" s="994"/>
      <c r="BPU3" s="994"/>
      <c r="BPV3" s="994"/>
      <c r="BPW3" s="994"/>
      <c r="BPX3" s="994"/>
      <c r="BPY3" s="994"/>
      <c r="BPZ3" s="994"/>
      <c r="BQA3" s="994"/>
      <c r="BQB3" s="994"/>
      <c r="BQC3" s="994"/>
      <c r="BQD3" s="994"/>
      <c r="BQE3" s="994"/>
      <c r="BQF3" s="994"/>
      <c r="BQG3" s="994"/>
      <c r="BQH3" s="994"/>
      <c r="BQI3" s="994"/>
      <c r="BQJ3" s="994"/>
      <c r="BQK3" s="994"/>
      <c r="BQL3" s="994"/>
      <c r="BQM3" s="994"/>
      <c r="BQN3" s="994"/>
      <c r="BQO3" s="994"/>
      <c r="BQP3" s="994"/>
      <c r="BQQ3" s="994"/>
      <c r="BQR3" s="994"/>
      <c r="BQS3" s="994"/>
      <c r="BQT3" s="994"/>
      <c r="BQU3" s="994"/>
      <c r="BQV3" s="994"/>
      <c r="BQW3" s="994"/>
      <c r="BQX3" s="994"/>
      <c r="BQY3" s="994"/>
      <c r="BQZ3" s="994"/>
      <c r="BRA3" s="994"/>
      <c r="BRB3" s="994"/>
      <c r="BRC3" s="994"/>
      <c r="BRD3" s="994"/>
      <c r="BRE3" s="994"/>
      <c r="BRF3" s="994"/>
      <c r="BRG3" s="994"/>
      <c r="BRH3" s="994"/>
      <c r="BRI3" s="994"/>
      <c r="BRJ3" s="994"/>
      <c r="BRK3" s="994"/>
      <c r="BRL3" s="994"/>
      <c r="BRM3" s="994"/>
      <c r="BRN3" s="994"/>
      <c r="BRO3" s="994"/>
      <c r="BRP3" s="994"/>
      <c r="BRQ3" s="994"/>
      <c r="BRR3" s="994"/>
      <c r="BRS3" s="994"/>
      <c r="BRT3" s="994"/>
      <c r="BRU3" s="994"/>
      <c r="BRV3" s="994"/>
      <c r="BRW3" s="994"/>
      <c r="BRX3" s="994"/>
      <c r="BRY3" s="994"/>
      <c r="BRZ3" s="994"/>
      <c r="BSA3" s="994"/>
      <c r="BSB3" s="994"/>
      <c r="BSC3" s="994"/>
      <c r="BSD3" s="994"/>
      <c r="BSE3" s="994"/>
      <c r="BSF3" s="994"/>
      <c r="BSG3" s="994"/>
      <c r="BSH3" s="994"/>
      <c r="BSI3" s="994"/>
      <c r="BSJ3" s="994"/>
      <c r="BSK3" s="994"/>
      <c r="BSL3" s="994"/>
      <c r="BSM3" s="994"/>
      <c r="BSN3" s="994"/>
      <c r="BSO3" s="994"/>
      <c r="BSP3" s="994"/>
      <c r="BSQ3" s="994"/>
      <c r="BSR3" s="994"/>
      <c r="BSS3" s="994"/>
      <c r="BST3" s="994"/>
      <c r="BSU3" s="994"/>
      <c r="BSV3" s="994"/>
      <c r="BSW3" s="994"/>
      <c r="BSX3" s="994"/>
      <c r="BSY3" s="994"/>
      <c r="BSZ3" s="994"/>
      <c r="BTA3" s="994"/>
      <c r="BTB3" s="994"/>
      <c r="BTC3" s="994"/>
      <c r="BTD3" s="994"/>
      <c r="BTE3" s="994"/>
      <c r="BTF3" s="994"/>
      <c r="BTG3" s="994"/>
      <c r="BTH3" s="994"/>
      <c r="BTI3" s="994"/>
      <c r="BTJ3" s="994"/>
      <c r="BTK3" s="994"/>
      <c r="BTL3" s="994"/>
      <c r="BTM3" s="994"/>
      <c r="BTN3" s="994"/>
      <c r="BTO3" s="994"/>
      <c r="BTP3" s="994"/>
      <c r="BTQ3" s="994"/>
      <c r="BTR3" s="994"/>
      <c r="BTS3" s="994"/>
      <c r="BTT3" s="994"/>
      <c r="BTU3" s="994"/>
      <c r="BTV3" s="994"/>
      <c r="BTW3" s="994"/>
      <c r="BTX3" s="994"/>
      <c r="BTY3" s="994"/>
      <c r="BTZ3" s="994"/>
      <c r="BUA3" s="994"/>
      <c r="BUB3" s="994"/>
      <c r="BUC3" s="994"/>
      <c r="BUD3" s="994"/>
      <c r="BUE3" s="994"/>
      <c r="BUF3" s="994"/>
      <c r="BUG3" s="994"/>
      <c r="BUH3" s="994"/>
      <c r="BUI3" s="994"/>
      <c r="BUJ3" s="994"/>
      <c r="BUK3" s="994"/>
      <c r="BUL3" s="994"/>
      <c r="BUM3" s="994"/>
      <c r="BUN3" s="994"/>
      <c r="BUO3" s="994"/>
      <c r="BUP3" s="994"/>
      <c r="BUQ3" s="994"/>
      <c r="BUR3" s="994"/>
      <c r="BUS3" s="994"/>
      <c r="BUT3" s="994"/>
      <c r="BUU3" s="994"/>
      <c r="BUV3" s="994"/>
      <c r="BUW3" s="994"/>
      <c r="BUX3" s="994"/>
      <c r="BUY3" s="994"/>
      <c r="BUZ3" s="994"/>
      <c r="BVA3" s="994"/>
      <c r="BVB3" s="994"/>
      <c r="BVC3" s="994"/>
      <c r="BVD3" s="994"/>
      <c r="BVE3" s="994"/>
      <c r="BVF3" s="994"/>
      <c r="BVG3" s="994"/>
      <c r="BVH3" s="994"/>
      <c r="BVI3" s="994"/>
      <c r="BVJ3" s="994"/>
      <c r="BVK3" s="994"/>
      <c r="BVL3" s="994"/>
      <c r="BVM3" s="994"/>
      <c r="BVN3" s="994"/>
      <c r="BVO3" s="994"/>
      <c r="BVP3" s="994"/>
      <c r="BVQ3" s="994"/>
      <c r="BVR3" s="994"/>
      <c r="BVS3" s="994"/>
      <c r="BVT3" s="994"/>
      <c r="BVU3" s="994"/>
      <c r="BVV3" s="994"/>
      <c r="BVW3" s="994"/>
      <c r="BVX3" s="994"/>
      <c r="BVY3" s="994"/>
      <c r="BVZ3" s="994"/>
      <c r="BWA3" s="994"/>
      <c r="BWB3" s="994"/>
      <c r="BWC3" s="994"/>
      <c r="BWD3" s="994"/>
      <c r="BWE3" s="994"/>
      <c r="BWF3" s="994"/>
      <c r="BWG3" s="994"/>
      <c r="BWH3" s="994"/>
      <c r="BWI3" s="994"/>
      <c r="BWJ3" s="994"/>
      <c r="BWK3" s="994"/>
      <c r="BWL3" s="994"/>
      <c r="BWM3" s="994"/>
      <c r="BWN3" s="994"/>
      <c r="BWO3" s="994"/>
      <c r="BWP3" s="994"/>
      <c r="BWQ3" s="994"/>
      <c r="BWR3" s="994"/>
      <c r="BWS3" s="994"/>
      <c r="BWT3" s="994"/>
      <c r="BWU3" s="994"/>
      <c r="BWV3" s="994"/>
      <c r="BWW3" s="994"/>
      <c r="BWX3" s="994"/>
      <c r="BWY3" s="994"/>
      <c r="BWZ3" s="994"/>
      <c r="BXA3" s="994"/>
      <c r="BXB3" s="994"/>
      <c r="BXC3" s="994"/>
      <c r="BXD3" s="994"/>
      <c r="BXE3" s="994"/>
      <c r="BXF3" s="994"/>
      <c r="BXG3" s="994"/>
      <c r="BXH3" s="994"/>
      <c r="BXI3" s="994"/>
      <c r="BXJ3" s="994"/>
      <c r="BXK3" s="994"/>
      <c r="BXL3" s="994"/>
      <c r="BXM3" s="994"/>
      <c r="BXN3" s="994"/>
      <c r="BXO3" s="994"/>
      <c r="BXP3" s="994"/>
      <c r="BXQ3" s="994"/>
      <c r="BXR3" s="994"/>
      <c r="BXS3" s="994"/>
      <c r="BXT3" s="994"/>
      <c r="BXU3" s="994"/>
      <c r="BXV3" s="994"/>
      <c r="BXW3" s="994"/>
      <c r="BXX3" s="994"/>
      <c r="BXY3" s="994"/>
      <c r="BXZ3" s="994"/>
      <c r="BYA3" s="994"/>
      <c r="BYB3" s="994"/>
      <c r="BYC3" s="994"/>
      <c r="BYD3" s="994"/>
      <c r="BYE3" s="994"/>
      <c r="BYF3" s="994"/>
      <c r="BYG3" s="994"/>
      <c r="BYH3" s="994"/>
      <c r="BYI3" s="994"/>
      <c r="BYJ3" s="994"/>
      <c r="BYK3" s="994"/>
      <c r="BYL3" s="994"/>
      <c r="BYM3" s="994"/>
      <c r="BYN3" s="994"/>
      <c r="BYO3" s="994"/>
      <c r="BYP3" s="994"/>
      <c r="BYQ3" s="994"/>
      <c r="BYR3" s="994"/>
      <c r="BYS3" s="994"/>
      <c r="BYT3" s="994"/>
      <c r="BYU3" s="994"/>
      <c r="BYV3" s="994"/>
      <c r="BYW3" s="994"/>
      <c r="BYX3" s="994"/>
      <c r="BYY3" s="994"/>
      <c r="BYZ3" s="994"/>
      <c r="BZA3" s="994"/>
      <c r="BZB3" s="994"/>
      <c r="BZC3" s="994"/>
      <c r="BZD3" s="994"/>
      <c r="BZE3" s="994"/>
      <c r="BZF3" s="994"/>
      <c r="BZG3" s="994"/>
      <c r="BZH3" s="994"/>
      <c r="BZI3" s="994"/>
      <c r="BZJ3" s="994"/>
      <c r="BZK3" s="994"/>
      <c r="BZL3" s="994"/>
      <c r="BZM3" s="994"/>
      <c r="BZN3" s="994"/>
      <c r="BZO3" s="994"/>
      <c r="BZP3" s="994"/>
      <c r="BZQ3" s="994"/>
      <c r="BZR3" s="994"/>
      <c r="BZS3" s="994"/>
      <c r="BZT3" s="994"/>
      <c r="BZU3" s="994"/>
      <c r="BZV3" s="994"/>
      <c r="BZW3" s="994"/>
      <c r="BZX3" s="994"/>
      <c r="BZY3" s="994"/>
      <c r="BZZ3" s="994"/>
      <c r="CAA3" s="994"/>
      <c r="CAB3" s="994"/>
      <c r="CAC3" s="994"/>
      <c r="CAD3" s="994"/>
      <c r="CAE3" s="994"/>
      <c r="CAF3" s="994"/>
      <c r="CAG3" s="994"/>
      <c r="CAH3" s="994"/>
      <c r="CAI3" s="994"/>
      <c r="CAJ3" s="994"/>
      <c r="CAK3" s="994"/>
      <c r="CAL3" s="994"/>
      <c r="CAM3" s="994"/>
      <c r="CAN3" s="994"/>
      <c r="CAO3" s="994"/>
      <c r="CAP3" s="994"/>
      <c r="CAQ3" s="994"/>
      <c r="CAR3" s="994"/>
      <c r="CAS3" s="994"/>
      <c r="CAT3" s="994"/>
      <c r="CAU3" s="994"/>
      <c r="CAV3" s="994"/>
      <c r="CAW3" s="994"/>
      <c r="CAX3" s="994"/>
      <c r="CAY3" s="994"/>
      <c r="CAZ3" s="994"/>
      <c r="CBA3" s="994"/>
      <c r="CBB3" s="994"/>
      <c r="CBC3" s="994"/>
      <c r="CBD3" s="994"/>
      <c r="CBE3" s="994"/>
      <c r="CBF3" s="994"/>
      <c r="CBG3" s="994"/>
      <c r="CBH3" s="994"/>
      <c r="CBI3" s="994"/>
      <c r="CBJ3" s="994"/>
      <c r="CBK3" s="994"/>
      <c r="CBL3" s="994"/>
      <c r="CBM3" s="994"/>
      <c r="CBN3" s="994"/>
      <c r="CBO3" s="994"/>
      <c r="CBP3" s="994"/>
      <c r="CBQ3" s="994"/>
      <c r="CBR3" s="994"/>
      <c r="CBS3" s="994"/>
      <c r="CBT3" s="994"/>
      <c r="CBU3" s="994"/>
      <c r="CBV3" s="994"/>
      <c r="CBW3" s="994"/>
      <c r="CBX3" s="994"/>
      <c r="CBY3" s="994"/>
      <c r="CBZ3" s="994"/>
      <c r="CCA3" s="994"/>
      <c r="CCB3" s="994"/>
      <c r="CCC3" s="994"/>
      <c r="CCD3" s="994"/>
      <c r="CCE3" s="994"/>
      <c r="CCF3" s="994"/>
      <c r="CCG3" s="994"/>
      <c r="CCH3" s="994"/>
      <c r="CCI3" s="994"/>
      <c r="CCJ3" s="994"/>
      <c r="CCK3" s="994"/>
      <c r="CCL3" s="994"/>
      <c r="CCM3" s="994"/>
      <c r="CCN3" s="994"/>
      <c r="CCO3" s="994"/>
      <c r="CCP3" s="994"/>
      <c r="CCQ3" s="994"/>
      <c r="CCR3" s="994"/>
      <c r="CCS3" s="994"/>
      <c r="CCT3" s="994"/>
      <c r="CCU3" s="994"/>
      <c r="CCV3" s="994"/>
      <c r="CCW3" s="994"/>
      <c r="CCX3" s="994"/>
      <c r="CCY3" s="994"/>
      <c r="CCZ3" s="994"/>
      <c r="CDA3" s="994"/>
      <c r="CDB3" s="994"/>
      <c r="CDC3" s="994"/>
      <c r="CDD3" s="994"/>
      <c r="CDE3" s="994"/>
      <c r="CDF3" s="994"/>
      <c r="CDG3" s="994"/>
      <c r="CDH3" s="994"/>
      <c r="CDI3" s="994"/>
      <c r="CDJ3" s="994"/>
      <c r="CDK3" s="994"/>
      <c r="CDL3" s="994"/>
      <c r="CDM3" s="994"/>
      <c r="CDN3" s="994"/>
      <c r="CDO3" s="994"/>
      <c r="CDP3" s="994"/>
      <c r="CDQ3" s="994"/>
      <c r="CDR3" s="994"/>
      <c r="CDS3" s="994"/>
      <c r="CDT3" s="994"/>
      <c r="CDU3" s="994"/>
      <c r="CDV3" s="994"/>
      <c r="CDW3" s="994"/>
      <c r="CDX3" s="994"/>
      <c r="CDY3" s="994"/>
      <c r="CDZ3" s="994"/>
      <c r="CEA3" s="994"/>
      <c r="CEB3" s="994"/>
      <c r="CEC3" s="994"/>
      <c r="CED3" s="994"/>
      <c r="CEE3" s="994"/>
      <c r="CEF3" s="994"/>
      <c r="CEG3" s="994"/>
      <c r="CEH3" s="994"/>
      <c r="CEI3" s="994"/>
      <c r="CEJ3" s="994"/>
      <c r="CEK3" s="994"/>
      <c r="CEL3" s="994"/>
      <c r="CEM3" s="994"/>
      <c r="CEN3" s="994"/>
      <c r="CEO3" s="994"/>
      <c r="CEP3" s="994"/>
      <c r="CEQ3" s="994"/>
      <c r="CER3" s="994"/>
      <c r="CES3" s="994"/>
      <c r="CET3" s="994"/>
      <c r="CEU3" s="994"/>
      <c r="CEV3" s="994"/>
      <c r="CEW3" s="994"/>
      <c r="CEX3" s="994"/>
      <c r="CEY3" s="994"/>
      <c r="CEZ3" s="994"/>
      <c r="CFA3" s="994"/>
      <c r="CFB3" s="994"/>
      <c r="CFC3" s="994"/>
      <c r="CFD3" s="994"/>
      <c r="CFE3" s="994"/>
      <c r="CFF3" s="994"/>
      <c r="CFG3" s="994"/>
      <c r="CFH3" s="994"/>
      <c r="CFI3" s="994"/>
      <c r="CFJ3" s="994"/>
      <c r="CFK3" s="994"/>
      <c r="CFL3" s="994"/>
      <c r="CFM3" s="994"/>
      <c r="CFN3" s="994"/>
      <c r="CFO3" s="994"/>
      <c r="CFP3" s="994"/>
      <c r="CFQ3" s="994"/>
      <c r="CFR3" s="994"/>
      <c r="CFS3" s="994"/>
      <c r="CFT3" s="994"/>
      <c r="CFU3" s="994"/>
      <c r="CFV3" s="994"/>
      <c r="CFW3" s="994"/>
      <c r="CFX3" s="994"/>
      <c r="CFY3" s="994"/>
      <c r="CFZ3" s="994"/>
      <c r="CGA3" s="994"/>
      <c r="CGB3" s="994"/>
      <c r="CGC3" s="994"/>
      <c r="CGD3" s="994"/>
      <c r="CGE3" s="994"/>
      <c r="CGF3" s="994"/>
      <c r="CGG3" s="994"/>
      <c r="CGH3" s="994"/>
      <c r="CGI3" s="994"/>
      <c r="CGJ3" s="994"/>
      <c r="CGK3" s="994"/>
      <c r="CGL3" s="994"/>
      <c r="CGM3" s="994"/>
      <c r="CGN3" s="994"/>
      <c r="CGO3" s="994"/>
      <c r="CGP3" s="994"/>
      <c r="CGQ3" s="994"/>
      <c r="CGR3" s="994"/>
      <c r="CGS3" s="994"/>
      <c r="CGT3" s="994"/>
      <c r="CGU3" s="994"/>
      <c r="CGV3" s="994"/>
      <c r="CGW3" s="994"/>
      <c r="CGX3" s="994"/>
      <c r="CGY3" s="994"/>
      <c r="CGZ3" s="994"/>
      <c r="CHA3" s="994"/>
      <c r="CHB3" s="994"/>
      <c r="CHC3" s="994"/>
      <c r="CHD3" s="994"/>
      <c r="CHE3" s="994"/>
      <c r="CHF3" s="994"/>
      <c r="CHG3" s="994"/>
      <c r="CHH3" s="994"/>
      <c r="CHI3" s="994"/>
      <c r="CHJ3" s="994"/>
      <c r="CHK3" s="994"/>
      <c r="CHL3" s="994"/>
      <c r="CHM3" s="994"/>
      <c r="CHN3" s="994"/>
      <c r="CHO3" s="994"/>
      <c r="CHP3" s="994"/>
      <c r="CHQ3" s="994"/>
      <c r="CHR3" s="994"/>
      <c r="CHS3" s="994"/>
      <c r="CHT3" s="994"/>
      <c r="CHU3" s="994"/>
      <c r="CHV3" s="994"/>
      <c r="CHW3" s="994"/>
      <c r="CHX3" s="994"/>
      <c r="CHY3" s="994"/>
      <c r="CHZ3" s="994"/>
      <c r="CIA3" s="994"/>
      <c r="CIB3" s="994"/>
      <c r="CIC3" s="994"/>
      <c r="CID3" s="994"/>
      <c r="CIE3" s="994"/>
      <c r="CIF3" s="994"/>
      <c r="CIG3" s="994"/>
      <c r="CIH3" s="994"/>
      <c r="CII3" s="994"/>
      <c r="CIJ3" s="994"/>
      <c r="CIK3" s="994"/>
      <c r="CIL3" s="994"/>
      <c r="CIM3" s="994"/>
      <c r="CIN3" s="994"/>
      <c r="CIO3" s="994"/>
      <c r="CIP3" s="994"/>
      <c r="CIQ3" s="994"/>
      <c r="CIR3" s="994"/>
      <c r="CIS3" s="994"/>
      <c r="CIT3" s="994"/>
      <c r="CIU3" s="994"/>
      <c r="CIV3" s="994"/>
      <c r="CIW3" s="994"/>
      <c r="CIX3" s="994"/>
      <c r="CIY3" s="994"/>
      <c r="CIZ3" s="994"/>
      <c r="CJA3" s="994"/>
      <c r="CJB3" s="994"/>
      <c r="CJC3" s="994"/>
      <c r="CJD3" s="994"/>
      <c r="CJE3" s="994"/>
      <c r="CJF3" s="994"/>
      <c r="CJG3" s="994"/>
      <c r="CJH3" s="994"/>
      <c r="CJI3" s="994"/>
      <c r="CJJ3" s="994"/>
      <c r="CJK3" s="994"/>
      <c r="CJL3" s="994"/>
      <c r="CJM3" s="994"/>
      <c r="CJN3" s="994"/>
      <c r="CJO3" s="994"/>
      <c r="CJP3" s="994"/>
      <c r="CJQ3" s="994"/>
      <c r="CJR3" s="994"/>
      <c r="CJS3" s="994"/>
      <c r="CJT3" s="994"/>
      <c r="CJU3" s="994"/>
      <c r="CJV3" s="994"/>
      <c r="CJW3" s="994"/>
      <c r="CJX3" s="994"/>
      <c r="CJY3" s="994"/>
      <c r="CJZ3" s="994"/>
      <c r="CKA3" s="994"/>
      <c r="CKB3" s="994"/>
      <c r="CKC3" s="994"/>
      <c r="CKD3" s="994"/>
      <c r="CKE3" s="994"/>
      <c r="CKF3" s="994"/>
      <c r="CKG3" s="994"/>
      <c r="CKH3" s="994"/>
      <c r="CKI3" s="994"/>
      <c r="CKJ3" s="994"/>
      <c r="CKK3" s="994"/>
      <c r="CKL3" s="994"/>
      <c r="CKM3" s="994"/>
      <c r="CKN3" s="994"/>
      <c r="CKO3" s="994"/>
      <c r="CKP3" s="994"/>
      <c r="CKQ3" s="994"/>
      <c r="CKR3" s="994"/>
      <c r="CKS3" s="994"/>
      <c r="CKT3" s="994"/>
      <c r="CKU3" s="994"/>
      <c r="CKV3" s="994"/>
      <c r="CKW3" s="994"/>
      <c r="CKX3" s="994"/>
      <c r="CKY3" s="994"/>
      <c r="CKZ3" s="994"/>
      <c r="CLA3" s="994"/>
      <c r="CLB3" s="994"/>
      <c r="CLC3" s="994"/>
      <c r="CLD3" s="994"/>
      <c r="CLE3" s="994"/>
      <c r="CLF3" s="994"/>
      <c r="CLG3" s="994"/>
      <c r="CLH3" s="994"/>
      <c r="CLI3" s="994"/>
      <c r="CLJ3" s="994"/>
      <c r="CLK3" s="994"/>
      <c r="CLL3" s="994"/>
      <c r="CLM3" s="994"/>
      <c r="CLN3" s="994"/>
      <c r="CLO3" s="994"/>
      <c r="CLP3" s="994"/>
      <c r="CLQ3" s="994"/>
      <c r="CLR3" s="994"/>
      <c r="CLS3" s="994"/>
      <c r="CLT3" s="994"/>
      <c r="CLU3" s="994"/>
      <c r="CLV3" s="994"/>
      <c r="CLW3" s="994"/>
      <c r="CLX3" s="994"/>
      <c r="CLY3" s="994"/>
      <c r="CLZ3" s="994"/>
      <c r="CMA3" s="994"/>
      <c r="CMB3" s="994"/>
      <c r="CMC3" s="994"/>
      <c r="CMD3" s="994"/>
      <c r="CME3" s="994"/>
      <c r="CMF3" s="994"/>
      <c r="CMG3" s="994"/>
      <c r="CMH3" s="994"/>
      <c r="CMI3" s="994"/>
      <c r="CMJ3" s="994"/>
      <c r="CMK3" s="994"/>
      <c r="CML3" s="994"/>
      <c r="CMM3" s="994"/>
      <c r="CMN3" s="994"/>
      <c r="CMO3" s="994"/>
      <c r="CMP3" s="994"/>
      <c r="CMQ3" s="994"/>
      <c r="CMR3" s="994"/>
      <c r="CMS3" s="994"/>
      <c r="CMT3" s="994"/>
      <c r="CMU3" s="994"/>
      <c r="CMV3" s="994"/>
      <c r="CMW3" s="994"/>
      <c r="CMX3" s="994"/>
      <c r="CMY3" s="994"/>
      <c r="CMZ3" s="994"/>
      <c r="CNA3" s="994"/>
      <c r="CNB3" s="994"/>
      <c r="CNC3" s="994"/>
      <c r="CND3" s="994"/>
      <c r="CNE3" s="994"/>
      <c r="CNF3" s="994"/>
      <c r="CNG3" s="994"/>
      <c r="CNH3" s="994"/>
      <c r="CNI3" s="994"/>
      <c r="CNJ3" s="994"/>
      <c r="CNK3" s="994"/>
      <c r="CNL3" s="994"/>
      <c r="CNM3" s="994"/>
      <c r="CNN3" s="994"/>
      <c r="CNO3" s="994"/>
      <c r="CNP3" s="994"/>
      <c r="CNQ3" s="994"/>
      <c r="CNR3" s="994"/>
      <c r="CNS3" s="994"/>
      <c r="CNT3" s="994"/>
      <c r="CNU3" s="994"/>
      <c r="CNV3" s="994"/>
      <c r="CNW3" s="994"/>
      <c r="CNX3" s="994"/>
      <c r="CNY3" s="994"/>
      <c r="CNZ3" s="994"/>
      <c r="COA3" s="994"/>
      <c r="COB3" s="994"/>
      <c r="COC3" s="994"/>
      <c r="COD3" s="994"/>
      <c r="COE3" s="994"/>
      <c r="COF3" s="994"/>
      <c r="COG3" s="994"/>
      <c r="COH3" s="994"/>
      <c r="COI3" s="994"/>
      <c r="COJ3" s="994"/>
      <c r="COK3" s="994"/>
      <c r="COL3" s="994"/>
      <c r="COM3" s="994"/>
      <c r="CON3" s="994"/>
      <c r="COO3" s="994"/>
      <c r="COP3" s="994"/>
      <c r="COQ3" s="994"/>
      <c r="COR3" s="994"/>
      <c r="COS3" s="994"/>
      <c r="COT3" s="994"/>
      <c r="COU3" s="994"/>
      <c r="COV3" s="994"/>
      <c r="COW3" s="994"/>
      <c r="COX3" s="994"/>
      <c r="COY3" s="994"/>
      <c r="COZ3" s="994"/>
      <c r="CPA3" s="994"/>
      <c r="CPB3" s="994"/>
      <c r="CPC3" s="994"/>
      <c r="CPD3" s="994"/>
      <c r="CPE3" s="994"/>
      <c r="CPF3" s="994"/>
      <c r="CPG3" s="994"/>
      <c r="CPH3" s="994"/>
      <c r="CPI3" s="994"/>
      <c r="CPJ3" s="994"/>
      <c r="CPK3" s="994"/>
      <c r="CPL3" s="994"/>
      <c r="CPM3" s="994"/>
      <c r="CPN3" s="994"/>
      <c r="CPO3" s="994"/>
      <c r="CPP3" s="994"/>
      <c r="CPQ3" s="994"/>
      <c r="CPR3" s="994"/>
      <c r="CPS3" s="994"/>
      <c r="CPT3" s="994"/>
      <c r="CPU3" s="994"/>
      <c r="CPV3" s="994"/>
      <c r="CPW3" s="994"/>
      <c r="CPX3" s="994"/>
      <c r="CPY3" s="994"/>
      <c r="CPZ3" s="994"/>
      <c r="CQA3" s="994"/>
      <c r="CQB3" s="994"/>
      <c r="CQC3" s="994"/>
      <c r="CQD3" s="994"/>
      <c r="CQE3" s="994"/>
      <c r="CQF3" s="994"/>
      <c r="CQG3" s="994"/>
      <c r="CQH3" s="994"/>
      <c r="CQI3" s="994"/>
      <c r="CQJ3" s="994"/>
      <c r="CQK3" s="994"/>
      <c r="CQL3" s="994"/>
      <c r="CQM3" s="994"/>
      <c r="CQN3" s="994"/>
      <c r="CQO3" s="994"/>
      <c r="CQP3" s="994"/>
      <c r="CQQ3" s="994"/>
      <c r="CQR3" s="994"/>
      <c r="CQS3" s="994"/>
      <c r="CQT3" s="994"/>
      <c r="CQU3" s="994"/>
      <c r="CQV3" s="994"/>
      <c r="CQW3" s="994"/>
      <c r="CQX3" s="994"/>
      <c r="CQY3" s="994"/>
      <c r="CQZ3" s="994"/>
      <c r="CRA3" s="994"/>
      <c r="CRB3" s="994"/>
      <c r="CRC3" s="994"/>
      <c r="CRD3" s="994"/>
      <c r="CRE3" s="994"/>
      <c r="CRF3" s="994"/>
      <c r="CRG3" s="994"/>
      <c r="CRH3" s="994"/>
      <c r="CRI3" s="994"/>
      <c r="CRJ3" s="994"/>
      <c r="CRK3" s="994"/>
      <c r="CRL3" s="994"/>
      <c r="CRM3" s="994"/>
      <c r="CRN3" s="994"/>
      <c r="CRO3" s="994"/>
      <c r="CRP3" s="994"/>
      <c r="CRQ3" s="994"/>
      <c r="CRR3" s="994"/>
      <c r="CRS3" s="994"/>
      <c r="CRT3" s="994"/>
      <c r="CRU3" s="994"/>
      <c r="CRV3" s="994"/>
      <c r="CRW3" s="994"/>
      <c r="CRX3" s="994"/>
      <c r="CRY3" s="994"/>
      <c r="CRZ3" s="994"/>
      <c r="CSA3" s="994"/>
      <c r="CSB3" s="994"/>
      <c r="CSC3" s="994"/>
      <c r="CSD3" s="994"/>
      <c r="CSE3" s="994"/>
      <c r="CSF3" s="994"/>
      <c r="CSG3" s="994"/>
      <c r="CSH3" s="994"/>
      <c r="CSI3" s="994"/>
      <c r="CSJ3" s="994"/>
      <c r="CSK3" s="994"/>
      <c r="CSL3" s="994"/>
      <c r="CSM3" s="994"/>
      <c r="CSN3" s="994"/>
      <c r="CSO3" s="994"/>
      <c r="CSP3" s="994"/>
      <c r="CSQ3" s="994"/>
      <c r="CSR3" s="994"/>
      <c r="CSS3" s="994"/>
      <c r="CST3" s="994"/>
      <c r="CSU3" s="994"/>
      <c r="CSV3" s="994"/>
      <c r="CSW3" s="994"/>
      <c r="CSX3" s="994"/>
      <c r="CSY3" s="994"/>
      <c r="CSZ3" s="994"/>
      <c r="CTA3" s="994"/>
      <c r="CTB3" s="994"/>
      <c r="CTC3" s="994"/>
      <c r="CTD3" s="994"/>
      <c r="CTE3" s="994"/>
      <c r="CTF3" s="994"/>
      <c r="CTG3" s="994"/>
      <c r="CTH3" s="994"/>
      <c r="CTI3" s="994"/>
      <c r="CTJ3" s="994"/>
      <c r="CTK3" s="994"/>
      <c r="CTL3" s="994"/>
      <c r="CTM3" s="994"/>
      <c r="CTN3" s="994"/>
      <c r="CTO3" s="994"/>
      <c r="CTP3" s="994"/>
      <c r="CTQ3" s="994"/>
      <c r="CTR3" s="994"/>
      <c r="CTS3" s="994"/>
      <c r="CTT3" s="994"/>
      <c r="CTU3" s="994"/>
      <c r="CTV3" s="994"/>
      <c r="CTW3" s="994"/>
      <c r="CTX3" s="994"/>
      <c r="CTY3" s="994"/>
      <c r="CTZ3" s="994"/>
      <c r="CUA3" s="994"/>
      <c r="CUB3" s="994"/>
      <c r="CUC3" s="994"/>
      <c r="CUD3" s="994"/>
      <c r="CUE3" s="994"/>
      <c r="CUF3" s="994"/>
      <c r="CUG3" s="994"/>
      <c r="CUH3" s="994"/>
      <c r="CUI3" s="994"/>
      <c r="CUJ3" s="994"/>
      <c r="CUK3" s="994"/>
      <c r="CUL3" s="994"/>
      <c r="CUM3" s="994"/>
      <c r="CUN3" s="994"/>
      <c r="CUO3" s="994"/>
      <c r="CUP3" s="994"/>
      <c r="CUQ3" s="994"/>
      <c r="CUR3" s="994"/>
      <c r="CUS3" s="994"/>
      <c r="CUT3" s="994"/>
      <c r="CUU3" s="994"/>
      <c r="CUV3" s="994"/>
      <c r="CUW3" s="994"/>
      <c r="CUX3" s="994"/>
      <c r="CUY3" s="994"/>
      <c r="CUZ3" s="994"/>
      <c r="CVA3" s="994"/>
      <c r="CVB3" s="994"/>
      <c r="CVC3" s="994"/>
      <c r="CVD3" s="994"/>
      <c r="CVE3" s="994"/>
      <c r="CVF3" s="994"/>
      <c r="CVG3" s="994"/>
      <c r="CVH3" s="994"/>
      <c r="CVI3" s="994"/>
      <c r="CVJ3" s="994"/>
      <c r="CVK3" s="994"/>
      <c r="CVL3" s="994"/>
      <c r="CVM3" s="994"/>
      <c r="CVN3" s="994"/>
      <c r="CVO3" s="994"/>
      <c r="CVP3" s="994"/>
      <c r="CVQ3" s="994"/>
      <c r="CVR3" s="994"/>
      <c r="CVS3" s="994"/>
      <c r="CVT3" s="994"/>
      <c r="CVU3" s="994"/>
      <c r="CVV3" s="994"/>
      <c r="CVW3" s="994"/>
      <c r="CVX3" s="994"/>
      <c r="CVY3" s="994"/>
      <c r="CVZ3" s="994"/>
      <c r="CWA3" s="994"/>
      <c r="CWB3" s="994"/>
      <c r="CWC3" s="994"/>
      <c r="CWD3" s="994"/>
      <c r="CWE3" s="994"/>
      <c r="CWF3" s="994"/>
      <c r="CWG3" s="994"/>
      <c r="CWH3" s="994"/>
      <c r="CWI3" s="994"/>
      <c r="CWJ3" s="994"/>
      <c r="CWK3" s="994"/>
      <c r="CWL3" s="994"/>
      <c r="CWM3" s="994"/>
      <c r="CWN3" s="994"/>
      <c r="CWO3" s="994"/>
      <c r="CWP3" s="994"/>
      <c r="CWQ3" s="994"/>
      <c r="CWR3" s="994"/>
      <c r="CWS3" s="994"/>
      <c r="CWT3" s="994"/>
      <c r="CWU3" s="994"/>
      <c r="CWV3" s="994"/>
      <c r="CWW3" s="994"/>
      <c r="CWX3" s="994"/>
      <c r="CWY3" s="994"/>
      <c r="CWZ3" s="994"/>
      <c r="CXA3" s="994"/>
      <c r="CXB3" s="994"/>
      <c r="CXC3" s="994"/>
      <c r="CXD3" s="994"/>
      <c r="CXE3" s="994"/>
      <c r="CXF3" s="994"/>
      <c r="CXG3" s="994"/>
      <c r="CXH3" s="994"/>
      <c r="CXI3" s="994"/>
      <c r="CXJ3" s="994"/>
      <c r="CXK3" s="994"/>
      <c r="CXL3" s="994"/>
      <c r="CXM3" s="994"/>
      <c r="CXN3" s="994"/>
      <c r="CXO3" s="994"/>
      <c r="CXP3" s="994"/>
      <c r="CXQ3" s="994"/>
      <c r="CXR3" s="994"/>
      <c r="CXS3" s="994"/>
      <c r="CXT3" s="994"/>
      <c r="CXU3" s="994"/>
      <c r="CXV3" s="994"/>
      <c r="CXW3" s="994"/>
      <c r="CXX3" s="994"/>
      <c r="CXY3" s="994"/>
      <c r="CXZ3" s="994"/>
      <c r="CYA3" s="994"/>
      <c r="CYB3" s="994"/>
      <c r="CYC3" s="994"/>
      <c r="CYD3" s="994"/>
      <c r="CYE3" s="994"/>
      <c r="CYF3" s="994"/>
      <c r="CYG3" s="994"/>
      <c r="CYH3" s="994"/>
      <c r="CYI3" s="994"/>
      <c r="CYJ3" s="994"/>
      <c r="CYK3" s="994"/>
      <c r="CYL3" s="994"/>
      <c r="CYM3" s="994"/>
      <c r="CYN3" s="994"/>
      <c r="CYO3" s="994"/>
      <c r="CYP3" s="994"/>
      <c r="CYQ3" s="994"/>
      <c r="CYR3" s="994"/>
      <c r="CYS3" s="994"/>
      <c r="CYT3" s="994"/>
      <c r="CYU3" s="994"/>
      <c r="CYV3" s="994"/>
      <c r="CYW3" s="994"/>
      <c r="CYX3" s="994"/>
      <c r="CYY3" s="994"/>
      <c r="CYZ3" s="994"/>
      <c r="CZA3" s="994"/>
      <c r="CZB3" s="994"/>
      <c r="CZC3" s="994"/>
      <c r="CZD3" s="994"/>
      <c r="CZE3" s="994"/>
      <c r="CZF3" s="994"/>
      <c r="CZG3" s="994"/>
      <c r="CZH3" s="994"/>
      <c r="CZI3" s="994"/>
      <c r="CZJ3" s="994"/>
      <c r="CZK3" s="994"/>
      <c r="CZL3" s="994"/>
      <c r="CZM3" s="994"/>
      <c r="CZN3" s="994"/>
      <c r="CZO3" s="994"/>
      <c r="CZP3" s="994"/>
      <c r="CZQ3" s="994"/>
      <c r="CZR3" s="994"/>
      <c r="CZS3" s="994"/>
      <c r="CZT3" s="994"/>
      <c r="CZU3" s="994"/>
      <c r="CZV3" s="994"/>
      <c r="CZW3" s="994"/>
      <c r="CZX3" s="994"/>
      <c r="CZY3" s="994"/>
      <c r="CZZ3" s="994"/>
      <c r="DAA3" s="994"/>
      <c r="DAB3" s="994"/>
      <c r="DAC3" s="994"/>
      <c r="DAD3" s="994"/>
      <c r="DAE3" s="994"/>
      <c r="DAF3" s="994"/>
      <c r="DAG3" s="994"/>
      <c r="DAH3" s="994"/>
      <c r="DAI3" s="994"/>
      <c r="DAJ3" s="994"/>
      <c r="DAK3" s="994"/>
      <c r="DAL3" s="994"/>
      <c r="DAM3" s="994"/>
      <c r="DAN3" s="994"/>
      <c r="DAO3" s="994"/>
      <c r="DAP3" s="994"/>
      <c r="DAQ3" s="994"/>
      <c r="DAR3" s="994"/>
      <c r="DAS3" s="994"/>
      <c r="DAT3" s="994"/>
      <c r="DAU3" s="994"/>
      <c r="DAV3" s="994"/>
      <c r="DAW3" s="994"/>
      <c r="DAX3" s="994"/>
      <c r="DAY3" s="994"/>
      <c r="DAZ3" s="994"/>
      <c r="DBA3" s="994"/>
      <c r="DBB3" s="994"/>
      <c r="DBC3" s="994"/>
      <c r="DBD3" s="994"/>
      <c r="DBE3" s="994"/>
      <c r="DBF3" s="994"/>
      <c r="DBG3" s="994"/>
      <c r="DBH3" s="994"/>
      <c r="DBI3" s="994"/>
      <c r="DBJ3" s="994"/>
      <c r="DBK3" s="994"/>
      <c r="DBL3" s="994"/>
      <c r="DBM3" s="994"/>
      <c r="DBN3" s="994"/>
      <c r="DBO3" s="994"/>
      <c r="DBP3" s="994"/>
      <c r="DBQ3" s="994"/>
      <c r="DBR3" s="994"/>
      <c r="DBS3" s="994"/>
      <c r="DBT3" s="994"/>
      <c r="DBU3" s="994"/>
      <c r="DBV3" s="994"/>
      <c r="DBW3" s="994"/>
      <c r="DBX3" s="994"/>
      <c r="DBY3" s="994"/>
      <c r="DBZ3" s="994"/>
      <c r="DCA3" s="994"/>
      <c r="DCB3" s="994"/>
      <c r="DCC3" s="994"/>
      <c r="DCD3" s="994"/>
      <c r="DCE3" s="994"/>
      <c r="DCF3" s="994"/>
      <c r="DCG3" s="994"/>
      <c r="DCH3" s="994"/>
      <c r="DCI3" s="994"/>
      <c r="DCJ3" s="994"/>
      <c r="DCK3" s="994"/>
      <c r="DCL3" s="994"/>
      <c r="DCM3" s="994"/>
      <c r="DCN3" s="994"/>
      <c r="DCO3" s="994"/>
      <c r="DCP3" s="994"/>
      <c r="DCQ3" s="994"/>
      <c r="DCR3" s="994"/>
      <c r="DCS3" s="994"/>
      <c r="DCT3" s="994"/>
      <c r="DCU3" s="994"/>
      <c r="DCV3" s="994"/>
      <c r="DCW3" s="994"/>
      <c r="DCX3" s="994"/>
      <c r="DCY3" s="994"/>
      <c r="DCZ3" s="994"/>
      <c r="DDA3" s="994"/>
      <c r="DDB3" s="994"/>
      <c r="DDC3" s="994"/>
      <c r="DDD3" s="994"/>
      <c r="DDE3" s="994"/>
      <c r="DDF3" s="994"/>
      <c r="DDG3" s="994"/>
      <c r="DDH3" s="994"/>
      <c r="DDI3" s="994"/>
      <c r="DDJ3" s="994"/>
      <c r="DDK3" s="994"/>
      <c r="DDL3" s="994"/>
      <c r="DDM3" s="994"/>
      <c r="DDN3" s="994"/>
      <c r="DDO3" s="994"/>
      <c r="DDP3" s="994"/>
      <c r="DDQ3" s="994"/>
      <c r="DDR3" s="994"/>
      <c r="DDS3" s="994"/>
      <c r="DDT3" s="994"/>
      <c r="DDU3" s="994"/>
      <c r="DDV3" s="994"/>
      <c r="DDW3" s="994"/>
      <c r="DDX3" s="994"/>
      <c r="DDY3" s="994"/>
      <c r="DDZ3" s="994"/>
      <c r="DEA3" s="994"/>
      <c r="DEB3" s="994"/>
      <c r="DEC3" s="994"/>
      <c r="DED3" s="994"/>
      <c r="DEE3" s="994"/>
      <c r="DEF3" s="994"/>
      <c r="DEG3" s="994"/>
      <c r="DEH3" s="994"/>
      <c r="DEI3" s="994"/>
      <c r="DEJ3" s="994"/>
      <c r="DEK3" s="994"/>
      <c r="DEL3" s="994"/>
      <c r="DEM3" s="994"/>
      <c r="DEN3" s="994"/>
      <c r="DEO3" s="994"/>
      <c r="DEP3" s="994"/>
      <c r="DEQ3" s="994"/>
      <c r="DER3" s="994"/>
      <c r="DES3" s="994"/>
      <c r="DET3" s="994"/>
      <c r="DEU3" s="994"/>
      <c r="DEV3" s="994"/>
      <c r="DEW3" s="994"/>
      <c r="DEX3" s="994"/>
      <c r="DEY3" s="994"/>
      <c r="DEZ3" s="994"/>
      <c r="DFA3" s="994"/>
      <c r="DFB3" s="994"/>
      <c r="DFC3" s="994"/>
      <c r="DFD3" s="994"/>
      <c r="DFE3" s="994"/>
      <c r="DFF3" s="994"/>
      <c r="DFG3" s="994"/>
      <c r="DFH3" s="994"/>
      <c r="DFI3" s="994"/>
      <c r="DFJ3" s="994"/>
      <c r="DFK3" s="994"/>
      <c r="DFL3" s="994"/>
      <c r="DFM3" s="994"/>
      <c r="DFN3" s="994"/>
      <c r="DFO3" s="994"/>
      <c r="DFP3" s="994"/>
      <c r="DFQ3" s="994"/>
      <c r="DFR3" s="994"/>
      <c r="DFS3" s="994"/>
      <c r="DFT3" s="994"/>
      <c r="DFU3" s="994"/>
      <c r="DFV3" s="994"/>
      <c r="DFW3" s="994"/>
      <c r="DFX3" s="994"/>
      <c r="DFY3" s="994"/>
      <c r="DFZ3" s="994"/>
      <c r="DGA3" s="994"/>
      <c r="DGB3" s="994"/>
      <c r="DGC3" s="994"/>
      <c r="DGD3" s="994"/>
      <c r="DGE3" s="994"/>
      <c r="DGF3" s="994"/>
      <c r="DGG3" s="994"/>
      <c r="DGH3" s="994"/>
      <c r="DGI3" s="994"/>
      <c r="DGJ3" s="994"/>
      <c r="DGK3" s="994"/>
      <c r="DGL3" s="994"/>
      <c r="DGM3" s="994"/>
      <c r="DGN3" s="994"/>
      <c r="DGO3" s="994"/>
      <c r="DGP3" s="994"/>
      <c r="DGQ3" s="994"/>
      <c r="DGR3" s="994"/>
      <c r="DGS3" s="994"/>
      <c r="DGT3" s="994"/>
      <c r="DGU3" s="994"/>
      <c r="DGV3" s="994"/>
      <c r="DGW3" s="994"/>
      <c r="DGX3" s="994"/>
      <c r="DGY3" s="994"/>
      <c r="DGZ3" s="994"/>
      <c r="DHA3" s="994"/>
      <c r="DHB3" s="994"/>
      <c r="DHC3" s="994"/>
      <c r="DHD3" s="994"/>
      <c r="DHE3" s="994"/>
      <c r="DHF3" s="994"/>
      <c r="DHG3" s="994"/>
      <c r="DHH3" s="994"/>
      <c r="DHI3" s="994"/>
      <c r="DHJ3" s="994"/>
      <c r="DHK3" s="994"/>
      <c r="DHL3" s="994"/>
      <c r="DHM3" s="994"/>
      <c r="DHN3" s="994"/>
      <c r="DHO3" s="994"/>
      <c r="DHP3" s="994"/>
      <c r="DHQ3" s="994"/>
      <c r="DHR3" s="994"/>
      <c r="DHS3" s="994"/>
      <c r="DHT3" s="994"/>
      <c r="DHU3" s="994"/>
      <c r="DHV3" s="994"/>
      <c r="DHW3" s="994"/>
      <c r="DHX3" s="994"/>
      <c r="DHY3" s="994"/>
      <c r="DHZ3" s="994"/>
      <c r="DIA3" s="994"/>
      <c r="DIB3" s="994"/>
      <c r="DIC3" s="994"/>
      <c r="DID3" s="994"/>
      <c r="DIE3" s="994"/>
      <c r="DIF3" s="994"/>
      <c r="DIG3" s="994"/>
      <c r="DIH3" s="994"/>
      <c r="DII3" s="994"/>
      <c r="DIJ3" s="994"/>
      <c r="DIK3" s="994"/>
      <c r="DIL3" s="994"/>
      <c r="DIM3" s="994"/>
      <c r="DIN3" s="994"/>
      <c r="DIO3" s="994"/>
      <c r="DIP3" s="994"/>
      <c r="DIQ3" s="994"/>
      <c r="DIR3" s="994"/>
      <c r="DIS3" s="994"/>
      <c r="DIT3" s="994"/>
      <c r="DIU3" s="994"/>
      <c r="DIV3" s="994"/>
      <c r="DIW3" s="994"/>
      <c r="DIX3" s="994"/>
      <c r="DIY3" s="994"/>
      <c r="DIZ3" s="994"/>
      <c r="DJA3" s="994"/>
      <c r="DJB3" s="994"/>
      <c r="DJC3" s="994"/>
      <c r="DJD3" s="994"/>
      <c r="DJE3" s="994"/>
      <c r="DJF3" s="994"/>
      <c r="DJG3" s="994"/>
      <c r="DJH3" s="994"/>
      <c r="DJI3" s="994"/>
      <c r="DJJ3" s="994"/>
      <c r="DJK3" s="994"/>
      <c r="DJL3" s="994"/>
      <c r="DJM3" s="994"/>
      <c r="DJN3" s="994"/>
      <c r="DJO3" s="994"/>
      <c r="DJP3" s="994"/>
      <c r="DJQ3" s="994"/>
      <c r="DJR3" s="994"/>
      <c r="DJS3" s="994"/>
      <c r="DJT3" s="994"/>
      <c r="DJU3" s="994"/>
      <c r="DJV3" s="994"/>
      <c r="DJW3" s="994"/>
      <c r="DJX3" s="994"/>
      <c r="DJY3" s="994"/>
      <c r="DJZ3" s="994"/>
      <c r="DKA3" s="994"/>
      <c r="DKB3" s="994"/>
      <c r="DKC3" s="994"/>
      <c r="DKD3" s="994"/>
      <c r="DKE3" s="994"/>
      <c r="DKF3" s="994"/>
      <c r="DKG3" s="994"/>
      <c r="DKH3" s="994"/>
      <c r="DKI3" s="994"/>
      <c r="DKJ3" s="994"/>
      <c r="DKK3" s="994"/>
      <c r="DKL3" s="994"/>
      <c r="DKM3" s="994"/>
      <c r="DKN3" s="994"/>
      <c r="DKO3" s="994"/>
      <c r="DKP3" s="994"/>
      <c r="DKQ3" s="994"/>
      <c r="DKR3" s="994"/>
      <c r="DKS3" s="994"/>
      <c r="DKT3" s="994"/>
      <c r="DKU3" s="994"/>
      <c r="DKV3" s="994"/>
      <c r="DKW3" s="994"/>
      <c r="DKX3" s="994"/>
      <c r="DKY3" s="994"/>
      <c r="DKZ3" s="994"/>
      <c r="DLA3" s="994"/>
      <c r="DLB3" s="994"/>
      <c r="DLC3" s="994"/>
      <c r="DLD3" s="994"/>
      <c r="DLE3" s="994"/>
      <c r="DLF3" s="994"/>
      <c r="DLG3" s="994"/>
      <c r="DLH3" s="994"/>
      <c r="DLI3" s="994"/>
      <c r="DLJ3" s="994"/>
      <c r="DLK3" s="994"/>
      <c r="DLL3" s="994"/>
      <c r="DLM3" s="994"/>
      <c r="DLN3" s="994"/>
      <c r="DLO3" s="994"/>
      <c r="DLP3" s="994"/>
      <c r="DLQ3" s="994"/>
      <c r="DLR3" s="994"/>
      <c r="DLS3" s="994"/>
      <c r="DLT3" s="994"/>
      <c r="DLU3" s="994"/>
      <c r="DLV3" s="994"/>
      <c r="DLW3" s="994"/>
      <c r="DLX3" s="994"/>
      <c r="DLY3" s="994"/>
      <c r="DLZ3" s="994"/>
      <c r="DMA3" s="994"/>
      <c r="DMB3" s="994"/>
      <c r="DMC3" s="994"/>
      <c r="DMD3" s="994"/>
      <c r="DME3" s="994"/>
      <c r="DMF3" s="994"/>
      <c r="DMG3" s="994"/>
      <c r="DMH3" s="994"/>
      <c r="DMI3" s="994"/>
      <c r="DMJ3" s="994"/>
      <c r="DMK3" s="994"/>
      <c r="DML3" s="994"/>
      <c r="DMM3" s="994"/>
      <c r="DMN3" s="994"/>
      <c r="DMO3" s="994"/>
      <c r="DMP3" s="994"/>
      <c r="DMQ3" s="994"/>
      <c r="DMR3" s="994"/>
      <c r="DMS3" s="994"/>
      <c r="DMT3" s="994"/>
      <c r="DMU3" s="994"/>
      <c r="DMV3" s="994"/>
      <c r="DMW3" s="994"/>
      <c r="DMX3" s="994"/>
      <c r="DMY3" s="994"/>
      <c r="DMZ3" s="994"/>
      <c r="DNA3" s="994"/>
      <c r="DNB3" s="994"/>
      <c r="DNC3" s="994"/>
      <c r="DND3" s="994"/>
      <c r="DNE3" s="994"/>
      <c r="DNF3" s="994"/>
      <c r="DNG3" s="994"/>
      <c r="DNH3" s="994"/>
      <c r="DNI3" s="994"/>
      <c r="DNJ3" s="994"/>
      <c r="DNK3" s="994"/>
      <c r="DNL3" s="994"/>
      <c r="DNM3" s="994"/>
      <c r="DNN3" s="994"/>
      <c r="DNO3" s="994"/>
      <c r="DNP3" s="994"/>
      <c r="DNQ3" s="994"/>
      <c r="DNR3" s="994"/>
      <c r="DNS3" s="994"/>
      <c r="DNT3" s="994"/>
      <c r="DNU3" s="994"/>
      <c r="DNV3" s="994"/>
      <c r="DNW3" s="994"/>
      <c r="DNX3" s="994"/>
      <c r="DNY3" s="994"/>
      <c r="DNZ3" s="994"/>
      <c r="DOA3" s="994"/>
      <c r="DOB3" s="994"/>
      <c r="DOC3" s="994"/>
      <c r="DOD3" s="994"/>
      <c r="DOE3" s="994"/>
      <c r="DOF3" s="994"/>
      <c r="DOG3" s="994"/>
      <c r="DOH3" s="994"/>
      <c r="DOI3" s="994"/>
      <c r="DOJ3" s="994"/>
      <c r="DOK3" s="994"/>
      <c r="DOL3" s="994"/>
      <c r="DOM3" s="994"/>
      <c r="DON3" s="994"/>
      <c r="DOO3" s="994"/>
      <c r="DOP3" s="994"/>
      <c r="DOQ3" s="994"/>
      <c r="DOR3" s="994"/>
      <c r="DOS3" s="994"/>
      <c r="DOT3" s="994"/>
      <c r="DOU3" s="994"/>
      <c r="DOV3" s="994"/>
      <c r="DOW3" s="994"/>
      <c r="DOX3" s="994"/>
      <c r="DOY3" s="994"/>
      <c r="DOZ3" s="994"/>
      <c r="DPA3" s="994"/>
      <c r="DPB3" s="994"/>
      <c r="DPC3" s="994"/>
      <c r="DPD3" s="994"/>
      <c r="DPE3" s="994"/>
      <c r="DPF3" s="994"/>
      <c r="DPG3" s="994"/>
      <c r="DPH3" s="994"/>
      <c r="DPI3" s="994"/>
      <c r="DPJ3" s="994"/>
      <c r="DPK3" s="994"/>
      <c r="DPL3" s="994"/>
      <c r="DPM3" s="994"/>
      <c r="DPN3" s="994"/>
      <c r="DPO3" s="994"/>
      <c r="DPP3" s="994"/>
      <c r="DPQ3" s="994"/>
      <c r="DPR3" s="994"/>
      <c r="DPS3" s="994"/>
      <c r="DPT3" s="994"/>
      <c r="DPU3" s="994"/>
      <c r="DPV3" s="994"/>
      <c r="DPW3" s="994"/>
      <c r="DPX3" s="994"/>
      <c r="DPY3" s="994"/>
      <c r="DPZ3" s="994"/>
      <c r="DQA3" s="994"/>
      <c r="DQB3" s="994"/>
      <c r="DQC3" s="994"/>
      <c r="DQD3" s="994"/>
      <c r="DQE3" s="994"/>
      <c r="DQF3" s="994"/>
      <c r="DQG3" s="994"/>
      <c r="DQH3" s="994"/>
      <c r="DQI3" s="994"/>
      <c r="DQJ3" s="994"/>
      <c r="DQK3" s="994"/>
      <c r="DQL3" s="994"/>
      <c r="DQM3" s="994"/>
      <c r="DQN3" s="994"/>
      <c r="DQO3" s="994"/>
      <c r="DQP3" s="994"/>
      <c r="DQQ3" s="994"/>
      <c r="DQR3" s="994"/>
      <c r="DQS3" s="994"/>
      <c r="DQT3" s="994"/>
      <c r="DQU3" s="994"/>
      <c r="DQV3" s="994"/>
      <c r="DQW3" s="994"/>
      <c r="DQX3" s="994"/>
      <c r="DQY3" s="994"/>
      <c r="DQZ3" s="994"/>
      <c r="DRA3" s="994"/>
      <c r="DRB3" s="994"/>
      <c r="DRC3" s="994"/>
      <c r="DRD3" s="994"/>
      <c r="DRE3" s="994"/>
      <c r="DRF3" s="994"/>
      <c r="DRG3" s="994"/>
      <c r="DRH3" s="994"/>
      <c r="DRI3" s="994"/>
      <c r="DRJ3" s="994"/>
      <c r="DRK3" s="994"/>
      <c r="DRL3" s="994"/>
      <c r="DRM3" s="994"/>
      <c r="DRN3" s="994"/>
      <c r="DRO3" s="994"/>
      <c r="DRP3" s="994"/>
      <c r="DRQ3" s="994"/>
      <c r="DRR3" s="994"/>
      <c r="DRS3" s="994"/>
      <c r="DRT3" s="994"/>
      <c r="DRU3" s="994"/>
      <c r="DRV3" s="994"/>
      <c r="DRW3" s="994"/>
      <c r="DRX3" s="994"/>
      <c r="DRY3" s="994"/>
      <c r="DRZ3" s="994"/>
      <c r="DSA3" s="994"/>
      <c r="DSB3" s="994"/>
      <c r="DSC3" s="994"/>
      <c r="DSD3" s="994"/>
      <c r="DSE3" s="994"/>
      <c r="DSF3" s="994"/>
      <c r="DSG3" s="994"/>
      <c r="DSH3" s="994"/>
      <c r="DSI3" s="994"/>
      <c r="DSJ3" s="994"/>
      <c r="DSK3" s="994"/>
      <c r="DSL3" s="994"/>
      <c r="DSM3" s="994"/>
      <c r="DSN3" s="994"/>
      <c r="DSO3" s="994"/>
      <c r="DSP3" s="994"/>
      <c r="DSQ3" s="994"/>
      <c r="DSR3" s="994"/>
      <c r="DSS3" s="994"/>
      <c r="DST3" s="994"/>
      <c r="DSU3" s="994"/>
      <c r="DSV3" s="994"/>
      <c r="DSW3" s="994"/>
      <c r="DSX3" s="994"/>
      <c r="DSY3" s="994"/>
      <c r="DSZ3" s="994"/>
      <c r="DTA3" s="994"/>
      <c r="DTB3" s="994"/>
      <c r="DTC3" s="994"/>
      <c r="DTD3" s="994"/>
      <c r="DTE3" s="994"/>
      <c r="DTF3" s="994"/>
      <c r="DTG3" s="994"/>
      <c r="DTH3" s="994"/>
      <c r="DTI3" s="994"/>
      <c r="DTJ3" s="994"/>
      <c r="DTK3" s="994"/>
      <c r="DTL3" s="994"/>
      <c r="DTM3" s="994"/>
      <c r="DTN3" s="994"/>
      <c r="DTO3" s="994"/>
      <c r="DTP3" s="994"/>
      <c r="DTQ3" s="994"/>
      <c r="DTR3" s="994"/>
      <c r="DTS3" s="994"/>
      <c r="DTT3" s="994"/>
      <c r="DTU3" s="994"/>
      <c r="DTV3" s="994"/>
      <c r="DTW3" s="994"/>
      <c r="DTX3" s="994"/>
      <c r="DTY3" s="994"/>
      <c r="DTZ3" s="994"/>
      <c r="DUA3" s="994"/>
      <c r="DUB3" s="994"/>
      <c r="DUC3" s="994"/>
      <c r="DUD3" s="994"/>
      <c r="DUE3" s="994"/>
      <c r="DUF3" s="994"/>
      <c r="DUG3" s="994"/>
      <c r="DUH3" s="994"/>
      <c r="DUI3" s="994"/>
      <c r="DUJ3" s="994"/>
      <c r="DUK3" s="994"/>
      <c r="DUL3" s="994"/>
      <c r="DUM3" s="994"/>
      <c r="DUN3" s="994"/>
      <c r="DUO3" s="994"/>
      <c r="DUP3" s="994"/>
      <c r="DUQ3" s="994"/>
      <c r="DUR3" s="994"/>
      <c r="DUS3" s="994"/>
      <c r="DUT3" s="994"/>
      <c r="DUU3" s="994"/>
      <c r="DUV3" s="994"/>
      <c r="DUW3" s="994"/>
      <c r="DUX3" s="994"/>
      <c r="DUY3" s="994"/>
      <c r="DUZ3" s="994"/>
      <c r="DVA3" s="994"/>
      <c r="DVB3" s="994"/>
      <c r="DVC3" s="994"/>
      <c r="DVD3" s="994"/>
      <c r="DVE3" s="994"/>
      <c r="DVF3" s="994"/>
      <c r="DVG3" s="994"/>
      <c r="DVH3" s="994"/>
      <c r="DVI3" s="994"/>
      <c r="DVJ3" s="994"/>
      <c r="DVK3" s="994"/>
      <c r="DVL3" s="994"/>
      <c r="DVM3" s="994"/>
      <c r="DVN3" s="994"/>
      <c r="DVO3" s="994"/>
      <c r="DVP3" s="994"/>
      <c r="DVQ3" s="994"/>
      <c r="DVR3" s="994"/>
      <c r="DVS3" s="994"/>
      <c r="DVT3" s="994"/>
      <c r="DVU3" s="994"/>
      <c r="DVV3" s="994"/>
      <c r="DVW3" s="994"/>
      <c r="DVX3" s="994"/>
      <c r="DVY3" s="994"/>
      <c r="DVZ3" s="994"/>
      <c r="DWA3" s="994"/>
      <c r="DWB3" s="994"/>
      <c r="DWC3" s="994"/>
      <c r="DWD3" s="994"/>
      <c r="DWE3" s="994"/>
      <c r="DWF3" s="994"/>
      <c r="DWG3" s="994"/>
      <c r="DWH3" s="994"/>
      <c r="DWI3" s="994"/>
      <c r="DWJ3" s="994"/>
      <c r="DWK3" s="994"/>
      <c r="DWL3" s="994"/>
      <c r="DWM3" s="994"/>
      <c r="DWN3" s="994"/>
      <c r="DWO3" s="994"/>
      <c r="DWP3" s="994"/>
      <c r="DWQ3" s="994"/>
      <c r="DWR3" s="994"/>
      <c r="DWS3" s="994"/>
      <c r="DWT3" s="994"/>
      <c r="DWU3" s="994"/>
      <c r="DWV3" s="994"/>
      <c r="DWW3" s="994"/>
      <c r="DWX3" s="994"/>
      <c r="DWY3" s="994"/>
      <c r="DWZ3" s="994"/>
      <c r="DXA3" s="994"/>
      <c r="DXB3" s="994"/>
      <c r="DXC3" s="994"/>
      <c r="DXD3" s="994"/>
      <c r="DXE3" s="994"/>
      <c r="DXF3" s="994"/>
      <c r="DXG3" s="994"/>
      <c r="DXH3" s="994"/>
      <c r="DXI3" s="994"/>
      <c r="DXJ3" s="994"/>
      <c r="DXK3" s="994"/>
      <c r="DXL3" s="994"/>
      <c r="DXM3" s="994"/>
      <c r="DXN3" s="994"/>
      <c r="DXO3" s="994"/>
      <c r="DXP3" s="994"/>
      <c r="DXQ3" s="994"/>
      <c r="DXR3" s="994"/>
      <c r="DXS3" s="994"/>
      <c r="DXT3" s="994"/>
      <c r="DXU3" s="994"/>
      <c r="DXV3" s="994"/>
      <c r="DXW3" s="994"/>
      <c r="DXX3" s="994"/>
      <c r="DXY3" s="994"/>
      <c r="DXZ3" s="994"/>
      <c r="DYA3" s="994"/>
      <c r="DYB3" s="994"/>
      <c r="DYC3" s="994"/>
      <c r="DYD3" s="994"/>
      <c r="DYE3" s="994"/>
      <c r="DYF3" s="994"/>
      <c r="DYG3" s="994"/>
      <c r="DYH3" s="994"/>
      <c r="DYI3" s="994"/>
      <c r="DYJ3" s="994"/>
      <c r="DYK3" s="994"/>
      <c r="DYL3" s="994"/>
      <c r="DYM3" s="994"/>
      <c r="DYN3" s="994"/>
      <c r="DYO3" s="994"/>
      <c r="DYP3" s="994"/>
      <c r="DYQ3" s="994"/>
      <c r="DYR3" s="994"/>
      <c r="DYS3" s="994"/>
      <c r="DYT3" s="994"/>
      <c r="DYU3" s="994"/>
      <c r="DYV3" s="994"/>
      <c r="DYW3" s="994"/>
      <c r="DYX3" s="994"/>
      <c r="DYY3" s="994"/>
      <c r="DYZ3" s="994"/>
      <c r="DZA3" s="994"/>
      <c r="DZB3" s="994"/>
      <c r="DZC3" s="994"/>
      <c r="DZD3" s="994"/>
      <c r="DZE3" s="994"/>
      <c r="DZF3" s="994"/>
      <c r="DZG3" s="994"/>
      <c r="DZH3" s="994"/>
      <c r="DZI3" s="994"/>
      <c r="DZJ3" s="994"/>
      <c r="DZK3" s="994"/>
      <c r="DZL3" s="994"/>
      <c r="DZM3" s="994"/>
      <c r="DZN3" s="994"/>
      <c r="DZO3" s="994"/>
      <c r="DZP3" s="994"/>
      <c r="DZQ3" s="994"/>
      <c r="DZR3" s="994"/>
      <c r="DZS3" s="994"/>
      <c r="DZT3" s="994"/>
      <c r="DZU3" s="994"/>
      <c r="DZV3" s="994"/>
      <c r="DZW3" s="994"/>
      <c r="DZX3" s="994"/>
      <c r="DZY3" s="994"/>
      <c r="DZZ3" s="994"/>
      <c r="EAA3" s="994"/>
      <c r="EAB3" s="994"/>
      <c r="EAC3" s="994"/>
      <c r="EAD3" s="994"/>
      <c r="EAE3" s="994"/>
      <c r="EAF3" s="994"/>
      <c r="EAG3" s="994"/>
      <c r="EAH3" s="994"/>
      <c r="EAI3" s="994"/>
      <c r="EAJ3" s="994"/>
      <c r="EAK3" s="994"/>
      <c r="EAL3" s="994"/>
      <c r="EAM3" s="994"/>
      <c r="EAN3" s="994"/>
      <c r="EAO3" s="994"/>
      <c r="EAP3" s="994"/>
      <c r="EAQ3" s="994"/>
      <c r="EAR3" s="994"/>
      <c r="EAS3" s="994"/>
      <c r="EAT3" s="994"/>
      <c r="EAU3" s="994"/>
      <c r="EAV3" s="994"/>
      <c r="EAW3" s="994"/>
      <c r="EAX3" s="994"/>
      <c r="EAY3" s="994"/>
      <c r="EAZ3" s="994"/>
      <c r="EBA3" s="994"/>
      <c r="EBB3" s="994"/>
      <c r="EBC3" s="994"/>
      <c r="EBD3" s="994"/>
      <c r="EBE3" s="994"/>
      <c r="EBF3" s="994"/>
      <c r="EBG3" s="994"/>
      <c r="EBH3" s="994"/>
      <c r="EBI3" s="994"/>
      <c r="EBJ3" s="994"/>
      <c r="EBK3" s="994"/>
      <c r="EBL3" s="994"/>
      <c r="EBM3" s="994"/>
      <c r="EBN3" s="994"/>
      <c r="EBO3" s="994"/>
      <c r="EBP3" s="994"/>
      <c r="EBQ3" s="994"/>
      <c r="EBR3" s="994"/>
      <c r="EBS3" s="994"/>
      <c r="EBT3" s="994"/>
      <c r="EBU3" s="994"/>
      <c r="EBV3" s="994"/>
      <c r="EBW3" s="994"/>
      <c r="EBX3" s="994"/>
      <c r="EBY3" s="994"/>
      <c r="EBZ3" s="994"/>
      <c r="ECA3" s="994"/>
      <c r="ECB3" s="994"/>
      <c r="ECC3" s="994"/>
      <c r="ECD3" s="994"/>
      <c r="ECE3" s="994"/>
      <c r="ECF3" s="994"/>
      <c r="ECG3" s="994"/>
      <c r="ECH3" s="994"/>
      <c r="ECI3" s="994"/>
      <c r="ECJ3" s="994"/>
      <c r="ECK3" s="994"/>
      <c r="ECL3" s="994"/>
      <c r="ECM3" s="994"/>
      <c r="ECN3" s="994"/>
      <c r="ECO3" s="994"/>
      <c r="ECP3" s="994"/>
      <c r="ECQ3" s="994"/>
      <c r="ECR3" s="994"/>
      <c r="ECS3" s="994"/>
      <c r="ECT3" s="994"/>
      <c r="ECU3" s="994"/>
      <c r="ECV3" s="994"/>
      <c r="ECW3" s="994"/>
      <c r="ECX3" s="994"/>
      <c r="ECY3" s="994"/>
      <c r="ECZ3" s="994"/>
      <c r="EDA3" s="994"/>
      <c r="EDB3" s="994"/>
      <c r="EDC3" s="994"/>
      <c r="EDD3" s="994"/>
      <c r="EDE3" s="994"/>
      <c r="EDF3" s="994"/>
      <c r="EDG3" s="994"/>
      <c r="EDH3" s="994"/>
      <c r="EDI3" s="994"/>
      <c r="EDJ3" s="994"/>
      <c r="EDK3" s="994"/>
      <c r="EDL3" s="994"/>
      <c r="EDM3" s="994"/>
      <c r="EDN3" s="994"/>
      <c r="EDO3" s="994"/>
      <c r="EDP3" s="994"/>
      <c r="EDQ3" s="994"/>
      <c r="EDR3" s="994"/>
      <c r="EDS3" s="994"/>
      <c r="EDT3" s="994"/>
      <c r="EDU3" s="994"/>
      <c r="EDV3" s="994"/>
      <c r="EDW3" s="994"/>
      <c r="EDX3" s="994"/>
      <c r="EDY3" s="994"/>
      <c r="EDZ3" s="994"/>
      <c r="EEA3" s="994"/>
      <c r="EEB3" s="994"/>
      <c r="EEC3" s="994"/>
      <c r="EED3" s="994"/>
      <c r="EEE3" s="994"/>
      <c r="EEF3" s="994"/>
      <c r="EEG3" s="994"/>
      <c r="EEH3" s="994"/>
      <c r="EEI3" s="994"/>
      <c r="EEJ3" s="994"/>
      <c r="EEK3" s="994"/>
      <c r="EEL3" s="994"/>
      <c r="EEM3" s="994"/>
      <c r="EEN3" s="994"/>
      <c r="EEO3" s="994"/>
      <c r="EEP3" s="994"/>
      <c r="EEQ3" s="994"/>
      <c r="EER3" s="994"/>
      <c r="EES3" s="994"/>
      <c r="EET3" s="994"/>
      <c r="EEU3" s="994"/>
      <c r="EEV3" s="994"/>
      <c r="EEW3" s="994"/>
      <c r="EEX3" s="994"/>
      <c r="EEY3" s="994"/>
      <c r="EEZ3" s="994"/>
      <c r="EFA3" s="994"/>
      <c r="EFB3" s="994"/>
      <c r="EFC3" s="994"/>
      <c r="EFD3" s="994"/>
      <c r="EFE3" s="994"/>
      <c r="EFF3" s="994"/>
      <c r="EFG3" s="994"/>
      <c r="EFH3" s="994"/>
      <c r="EFI3" s="994"/>
      <c r="EFJ3" s="994"/>
      <c r="EFK3" s="994"/>
      <c r="EFL3" s="994"/>
      <c r="EFM3" s="994"/>
      <c r="EFN3" s="994"/>
      <c r="EFO3" s="994"/>
      <c r="EFP3" s="994"/>
      <c r="EFQ3" s="994"/>
      <c r="EFR3" s="994"/>
      <c r="EFS3" s="994"/>
      <c r="EFT3" s="994"/>
      <c r="EFU3" s="994"/>
      <c r="EFV3" s="994"/>
      <c r="EFW3" s="994"/>
      <c r="EFX3" s="994"/>
      <c r="EFY3" s="994"/>
      <c r="EFZ3" s="994"/>
      <c r="EGA3" s="994"/>
      <c r="EGB3" s="994"/>
      <c r="EGC3" s="994"/>
      <c r="EGD3" s="994"/>
      <c r="EGE3" s="994"/>
      <c r="EGF3" s="994"/>
      <c r="EGG3" s="994"/>
      <c r="EGH3" s="994"/>
      <c r="EGI3" s="994"/>
      <c r="EGJ3" s="994"/>
      <c r="EGK3" s="994"/>
      <c r="EGL3" s="994"/>
      <c r="EGM3" s="994"/>
      <c r="EGN3" s="994"/>
      <c r="EGO3" s="994"/>
      <c r="EGP3" s="994"/>
      <c r="EGQ3" s="994"/>
      <c r="EGR3" s="994"/>
      <c r="EGS3" s="994"/>
      <c r="EGT3" s="994"/>
      <c r="EGU3" s="994"/>
      <c r="EGV3" s="994"/>
      <c r="EGW3" s="994"/>
      <c r="EGX3" s="994"/>
      <c r="EGY3" s="994"/>
      <c r="EGZ3" s="994"/>
      <c r="EHA3" s="994"/>
      <c r="EHB3" s="994"/>
      <c r="EHC3" s="994"/>
      <c r="EHD3" s="994"/>
      <c r="EHE3" s="994"/>
      <c r="EHF3" s="994"/>
      <c r="EHG3" s="994"/>
      <c r="EHH3" s="994"/>
      <c r="EHI3" s="994"/>
      <c r="EHJ3" s="994"/>
      <c r="EHK3" s="994"/>
      <c r="EHL3" s="994"/>
      <c r="EHM3" s="994"/>
      <c r="EHN3" s="994"/>
      <c r="EHO3" s="994"/>
      <c r="EHP3" s="994"/>
      <c r="EHQ3" s="994"/>
      <c r="EHR3" s="994"/>
      <c r="EHS3" s="994"/>
      <c r="EHT3" s="994"/>
      <c r="EHU3" s="994"/>
      <c r="EHV3" s="994"/>
      <c r="EHW3" s="994"/>
      <c r="EHX3" s="994"/>
      <c r="EHY3" s="994"/>
      <c r="EHZ3" s="994"/>
      <c r="EIA3" s="994"/>
      <c r="EIB3" s="994"/>
      <c r="EIC3" s="994"/>
      <c r="EID3" s="994"/>
      <c r="EIE3" s="994"/>
      <c r="EIF3" s="994"/>
      <c r="EIG3" s="994"/>
      <c r="EIH3" s="994"/>
      <c r="EII3" s="994"/>
      <c r="EIJ3" s="994"/>
      <c r="EIK3" s="994"/>
      <c r="EIL3" s="994"/>
      <c r="EIM3" s="994"/>
      <c r="EIN3" s="994"/>
      <c r="EIO3" s="994"/>
      <c r="EIP3" s="994"/>
      <c r="EIQ3" s="994"/>
      <c r="EIR3" s="994"/>
      <c r="EIS3" s="994"/>
      <c r="EIT3" s="994"/>
      <c r="EIU3" s="994"/>
      <c r="EIV3" s="994"/>
      <c r="EIW3" s="994"/>
      <c r="EIX3" s="994"/>
      <c r="EIY3" s="994"/>
      <c r="EIZ3" s="994"/>
      <c r="EJA3" s="994"/>
      <c r="EJB3" s="994"/>
      <c r="EJC3" s="994"/>
      <c r="EJD3" s="994"/>
      <c r="EJE3" s="994"/>
      <c r="EJF3" s="994"/>
      <c r="EJG3" s="994"/>
      <c r="EJH3" s="994"/>
      <c r="EJI3" s="994"/>
      <c r="EJJ3" s="994"/>
      <c r="EJK3" s="994"/>
      <c r="EJL3" s="994"/>
      <c r="EJM3" s="994"/>
      <c r="EJN3" s="994"/>
      <c r="EJO3" s="994"/>
      <c r="EJP3" s="994"/>
      <c r="EJQ3" s="994"/>
      <c r="EJR3" s="994"/>
      <c r="EJS3" s="994"/>
      <c r="EJT3" s="994"/>
      <c r="EJU3" s="994"/>
      <c r="EJV3" s="994"/>
      <c r="EJW3" s="994"/>
      <c r="EJX3" s="994"/>
      <c r="EJY3" s="994"/>
      <c r="EJZ3" s="994"/>
      <c r="EKA3" s="994"/>
      <c r="EKB3" s="994"/>
      <c r="EKC3" s="994"/>
      <c r="EKD3" s="994"/>
      <c r="EKE3" s="994"/>
      <c r="EKF3" s="994"/>
      <c r="EKG3" s="994"/>
      <c r="EKH3" s="994"/>
      <c r="EKI3" s="994"/>
      <c r="EKJ3" s="994"/>
      <c r="EKK3" s="994"/>
      <c r="EKL3" s="994"/>
      <c r="EKM3" s="994"/>
      <c r="EKN3" s="994"/>
      <c r="EKO3" s="994"/>
      <c r="EKP3" s="994"/>
      <c r="EKQ3" s="994"/>
      <c r="EKR3" s="994"/>
      <c r="EKS3" s="994"/>
      <c r="EKT3" s="994"/>
      <c r="EKU3" s="994"/>
      <c r="EKV3" s="994"/>
      <c r="EKW3" s="994"/>
      <c r="EKX3" s="994"/>
      <c r="EKY3" s="994"/>
      <c r="EKZ3" s="994"/>
      <c r="ELA3" s="994"/>
      <c r="ELB3" s="994"/>
      <c r="ELC3" s="994"/>
      <c r="ELD3" s="994"/>
      <c r="ELE3" s="994"/>
      <c r="ELF3" s="994"/>
      <c r="ELG3" s="994"/>
      <c r="ELH3" s="994"/>
      <c r="ELI3" s="994"/>
      <c r="ELJ3" s="994"/>
      <c r="ELK3" s="994"/>
      <c r="ELL3" s="994"/>
      <c r="ELM3" s="994"/>
      <c r="ELN3" s="994"/>
      <c r="ELO3" s="994"/>
      <c r="ELP3" s="994"/>
      <c r="ELQ3" s="994"/>
      <c r="ELR3" s="994"/>
      <c r="ELS3" s="994"/>
      <c r="ELT3" s="994"/>
      <c r="ELU3" s="994"/>
      <c r="ELV3" s="994"/>
      <c r="ELW3" s="994"/>
      <c r="ELX3" s="994"/>
      <c r="ELY3" s="994"/>
      <c r="ELZ3" s="994"/>
      <c r="EMA3" s="994"/>
      <c r="EMB3" s="994"/>
      <c r="EMC3" s="994"/>
      <c r="EMD3" s="994"/>
      <c r="EME3" s="994"/>
      <c r="EMF3" s="994"/>
      <c r="EMG3" s="994"/>
      <c r="EMH3" s="994"/>
      <c r="EMI3" s="994"/>
      <c r="EMJ3" s="994"/>
      <c r="EMK3" s="994"/>
      <c r="EML3" s="994"/>
      <c r="EMM3" s="994"/>
      <c r="EMN3" s="994"/>
      <c r="EMO3" s="994"/>
      <c r="EMP3" s="994"/>
      <c r="EMQ3" s="994"/>
      <c r="EMR3" s="994"/>
      <c r="EMS3" s="994"/>
      <c r="EMT3" s="994"/>
      <c r="EMU3" s="994"/>
      <c r="EMV3" s="994"/>
      <c r="EMW3" s="994"/>
      <c r="EMX3" s="994"/>
      <c r="EMY3" s="994"/>
      <c r="EMZ3" s="994"/>
      <c r="ENA3" s="994"/>
      <c r="ENB3" s="994"/>
      <c r="ENC3" s="994"/>
      <c r="END3" s="994"/>
      <c r="ENE3" s="994"/>
      <c r="ENF3" s="994"/>
      <c r="ENG3" s="994"/>
      <c r="ENH3" s="994"/>
      <c r="ENI3" s="994"/>
      <c r="ENJ3" s="994"/>
      <c r="ENK3" s="994"/>
      <c r="ENL3" s="994"/>
      <c r="ENM3" s="994"/>
      <c r="ENN3" s="994"/>
      <c r="ENO3" s="994"/>
      <c r="ENP3" s="994"/>
      <c r="ENQ3" s="994"/>
      <c r="ENR3" s="994"/>
      <c r="ENS3" s="994"/>
      <c r="ENT3" s="994"/>
      <c r="ENU3" s="994"/>
      <c r="ENV3" s="994"/>
      <c r="ENW3" s="994"/>
      <c r="ENX3" s="994"/>
      <c r="ENY3" s="994"/>
      <c r="ENZ3" s="994"/>
      <c r="EOA3" s="994"/>
      <c r="EOB3" s="994"/>
      <c r="EOC3" s="994"/>
      <c r="EOD3" s="994"/>
      <c r="EOE3" s="994"/>
      <c r="EOF3" s="994"/>
      <c r="EOG3" s="994"/>
      <c r="EOH3" s="994"/>
      <c r="EOI3" s="994"/>
      <c r="EOJ3" s="994"/>
      <c r="EOK3" s="994"/>
      <c r="EOL3" s="994"/>
      <c r="EOM3" s="994"/>
      <c r="EON3" s="994"/>
      <c r="EOO3" s="994"/>
      <c r="EOP3" s="994"/>
      <c r="EOQ3" s="994"/>
      <c r="EOR3" s="994"/>
      <c r="EOS3" s="994"/>
      <c r="EOT3" s="994"/>
      <c r="EOU3" s="994"/>
      <c r="EOV3" s="994"/>
      <c r="EOW3" s="994"/>
      <c r="EOX3" s="994"/>
      <c r="EOY3" s="994"/>
      <c r="EOZ3" s="994"/>
      <c r="EPA3" s="994"/>
      <c r="EPB3" s="994"/>
      <c r="EPC3" s="994"/>
      <c r="EPD3" s="994"/>
      <c r="EPE3" s="994"/>
      <c r="EPF3" s="994"/>
      <c r="EPG3" s="994"/>
      <c r="EPH3" s="994"/>
      <c r="EPI3" s="994"/>
      <c r="EPJ3" s="994"/>
      <c r="EPK3" s="994"/>
      <c r="EPL3" s="994"/>
      <c r="EPM3" s="994"/>
      <c r="EPN3" s="994"/>
      <c r="EPO3" s="994"/>
      <c r="EPP3" s="994"/>
      <c r="EPQ3" s="994"/>
      <c r="EPR3" s="994"/>
      <c r="EPS3" s="994"/>
      <c r="EPT3" s="994"/>
      <c r="EPU3" s="994"/>
      <c r="EPV3" s="994"/>
      <c r="EPW3" s="994"/>
      <c r="EPX3" s="994"/>
      <c r="EPY3" s="994"/>
      <c r="EPZ3" s="994"/>
      <c r="EQA3" s="994"/>
      <c r="EQB3" s="994"/>
      <c r="EQC3" s="994"/>
      <c r="EQD3" s="994"/>
      <c r="EQE3" s="994"/>
      <c r="EQF3" s="994"/>
      <c r="EQG3" s="994"/>
      <c r="EQH3" s="994"/>
      <c r="EQI3" s="994"/>
      <c r="EQJ3" s="994"/>
      <c r="EQK3" s="994"/>
      <c r="EQL3" s="994"/>
      <c r="EQM3" s="994"/>
      <c r="EQN3" s="994"/>
      <c r="EQO3" s="994"/>
      <c r="EQP3" s="994"/>
      <c r="EQQ3" s="994"/>
      <c r="EQR3" s="994"/>
      <c r="EQS3" s="994"/>
      <c r="EQT3" s="994"/>
      <c r="EQU3" s="994"/>
      <c r="EQV3" s="994"/>
      <c r="EQW3" s="994"/>
      <c r="EQX3" s="994"/>
      <c r="EQY3" s="994"/>
      <c r="EQZ3" s="994"/>
      <c r="ERA3" s="994"/>
      <c r="ERB3" s="994"/>
      <c r="ERC3" s="994"/>
      <c r="ERD3" s="994"/>
      <c r="ERE3" s="994"/>
      <c r="ERF3" s="994"/>
      <c r="ERG3" s="994"/>
      <c r="ERH3" s="994"/>
      <c r="ERI3" s="994"/>
      <c r="ERJ3" s="994"/>
      <c r="ERK3" s="994"/>
      <c r="ERL3" s="994"/>
      <c r="ERM3" s="994"/>
      <c r="ERN3" s="994"/>
      <c r="ERO3" s="994"/>
      <c r="ERP3" s="994"/>
      <c r="ERQ3" s="994"/>
      <c r="ERR3" s="994"/>
      <c r="ERS3" s="994"/>
      <c r="ERT3" s="994"/>
      <c r="ERU3" s="994"/>
      <c r="ERV3" s="994"/>
      <c r="ERW3" s="994"/>
      <c r="ERX3" s="994"/>
      <c r="ERY3" s="994"/>
      <c r="ERZ3" s="994"/>
      <c r="ESA3" s="994"/>
      <c r="ESB3" s="994"/>
      <c r="ESC3" s="994"/>
      <c r="ESD3" s="994"/>
      <c r="ESE3" s="994"/>
      <c r="ESF3" s="994"/>
      <c r="ESG3" s="994"/>
      <c r="ESH3" s="994"/>
      <c r="ESI3" s="994"/>
      <c r="ESJ3" s="994"/>
      <c r="ESK3" s="994"/>
      <c r="ESL3" s="994"/>
      <c r="ESM3" s="994"/>
      <c r="ESN3" s="994"/>
      <c r="ESO3" s="994"/>
      <c r="ESP3" s="994"/>
      <c r="ESQ3" s="994"/>
      <c r="ESR3" s="994"/>
      <c r="ESS3" s="994"/>
      <c r="EST3" s="994"/>
      <c r="ESU3" s="994"/>
      <c r="ESV3" s="994"/>
      <c r="ESW3" s="994"/>
      <c r="ESX3" s="994"/>
      <c r="ESY3" s="994"/>
      <c r="ESZ3" s="994"/>
      <c r="ETA3" s="994"/>
      <c r="ETB3" s="994"/>
      <c r="ETC3" s="994"/>
      <c r="ETD3" s="994"/>
      <c r="ETE3" s="994"/>
      <c r="ETF3" s="994"/>
      <c r="ETG3" s="994"/>
      <c r="ETH3" s="994"/>
      <c r="ETI3" s="994"/>
      <c r="ETJ3" s="994"/>
      <c r="ETK3" s="994"/>
      <c r="ETL3" s="994"/>
      <c r="ETM3" s="994"/>
      <c r="ETN3" s="994"/>
      <c r="ETO3" s="994"/>
      <c r="ETP3" s="994"/>
      <c r="ETQ3" s="994"/>
      <c r="ETR3" s="994"/>
      <c r="ETS3" s="994"/>
      <c r="ETT3" s="994"/>
      <c r="ETU3" s="994"/>
      <c r="ETV3" s="994"/>
      <c r="ETW3" s="994"/>
      <c r="ETX3" s="994"/>
      <c r="ETY3" s="994"/>
      <c r="ETZ3" s="994"/>
      <c r="EUA3" s="994"/>
      <c r="EUB3" s="994"/>
      <c r="EUC3" s="994"/>
      <c r="EUD3" s="994"/>
      <c r="EUE3" s="994"/>
      <c r="EUF3" s="994"/>
      <c r="EUG3" s="994"/>
      <c r="EUH3" s="994"/>
      <c r="EUI3" s="994"/>
      <c r="EUJ3" s="994"/>
      <c r="EUK3" s="994"/>
      <c r="EUL3" s="994"/>
      <c r="EUM3" s="994"/>
      <c r="EUN3" s="994"/>
      <c r="EUO3" s="994"/>
      <c r="EUP3" s="994"/>
      <c r="EUQ3" s="994"/>
      <c r="EUR3" s="994"/>
      <c r="EUS3" s="994"/>
      <c r="EUT3" s="994"/>
      <c r="EUU3" s="994"/>
      <c r="EUV3" s="994"/>
      <c r="EUW3" s="994"/>
      <c r="EUX3" s="994"/>
      <c r="EUY3" s="994"/>
      <c r="EUZ3" s="994"/>
      <c r="EVA3" s="994"/>
      <c r="EVB3" s="994"/>
      <c r="EVC3" s="994"/>
      <c r="EVD3" s="994"/>
      <c r="EVE3" s="994"/>
      <c r="EVF3" s="994"/>
      <c r="EVG3" s="994"/>
      <c r="EVH3" s="994"/>
      <c r="EVI3" s="994"/>
      <c r="EVJ3" s="994"/>
      <c r="EVK3" s="994"/>
      <c r="EVL3" s="994"/>
      <c r="EVM3" s="994"/>
      <c r="EVN3" s="994"/>
      <c r="EVO3" s="994"/>
      <c r="EVP3" s="994"/>
      <c r="EVQ3" s="994"/>
      <c r="EVR3" s="994"/>
      <c r="EVS3" s="994"/>
      <c r="EVT3" s="994"/>
      <c r="EVU3" s="994"/>
      <c r="EVV3" s="994"/>
      <c r="EVW3" s="994"/>
      <c r="EVX3" s="994"/>
      <c r="EVY3" s="994"/>
      <c r="EVZ3" s="994"/>
      <c r="EWA3" s="994"/>
      <c r="EWB3" s="994"/>
      <c r="EWC3" s="994"/>
      <c r="EWD3" s="994"/>
      <c r="EWE3" s="994"/>
      <c r="EWF3" s="994"/>
      <c r="EWG3" s="994"/>
      <c r="EWH3" s="994"/>
      <c r="EWI3" s="994"/>
      <c r="EWJ3" s="994"/>
      <c r="EWK3" s="994"/>
      <c r="EWL3" s="994"/>
      <c r="EWM3" s="994"/>
      <c r="EWN3" s="994"/>
      <c r="EWO3" s="994"/>
      <c r="EWP3" s="994"/>
      <c r="EWQ3" s="994"/>
      <c r="EWR3" s="994"/>
      <c r="EWS3" s="994"/>
      <c r="EWT3" s="994"/>
      <c r="EWU3" s="994"/>
      <c r="EWV3" s="994"/>
      <c r="EWW3" s="994"/>
      <c r="EWX3" s="994"/>
      <c r="EWY3" s="994"/>
      <c r="EWZ3" s="994"/>
      <c r="EXA3" s="994"/>
      <c r="EXB3" s="994"/>
      <c r="EXC3" s="994"/>
      <c r="EXD3" s="994"/>
      <c r="EXE3" s="994"/>
      <c r="EXF3" s="994"/>
      <c r="EXG3" s="994"/>
      <c r="EXH3" s="994"/>
      <c r="EXI3" s="994"/>
      <c r="EXJ3" s="994"/>
      <c r="EXK3" s="994"/>
      <c r="EXL3" s="994"/>
      <c r="EXM3" s="994"/>
      <c r="EXN3" s="994"/>
      <c r="EXO3" s="994"/>
      <c r="EXP3" s="994"/>
      <c r="EXQ3" s="994"/>
      <c r="EXR3" s="994"/>
      <c r="EXS3" s="994"/>
      <c r="EXT3" s="994"/>
      <c r="EXU3" s="994"/>
      <c r="EXV3" s="994"/>
      <c r="EXW3" s="994"/>
      <c r="EXX3" s="994"/>
      <c r="EXY3" s="994"/>
      <c r="EXZ3" s="994"/>
      <c r="EYA3" s="994"/>
      <c r="EYB3" s="994"/>
      <c r="EYC3" s="994"/>
      <c r="EYD3" s="994"/>
      <c r="EYE3" s="994"/>
      <c r="EYF3" s="994"/>
      <c r="EYG3" s="994"/>
      <c r="EYH3" s="994"/>
      <c r="EYI3" s="994"/>
      <c r="EYJ3" s="994"/>
      <c r="EYK3" s="994"/>
      <c r="EYL3" s="994"/>
      <c r="EYM3" s="994"/>
      <c r="EYN3" s="994"/>
      <c r="EYO3" s="994"/>
      <c r="EYP3" s="994"/>
      <c r="EYQ3" s="994"/>
      <c r="EYR3" s="994"/>
      <c r="EYS3" s="994"/>
      <c r="EYT3" s="994"/>
      <c r="EYU3" s="994"/>
      <c r="EYV3" s="994"/>
      <c r="EYW3" s="994"/>
      <c r="EYX3" s="994"/>
      <c r="EYY3" s="994"/>
      <c r="EYZ3" s="994"/>
      <c r="EZA3" s="994"/>
      <c r="EZB3" s="994"/>
      <c r="EZC3" s="994"/>
      <c r="EZD3" s="994"/>
      <c r="EZE3" s="994"/>
      <c r="EZF3" s="994"/>
      <c r="EZG3" s="994"/>
      <c r="EZH3" s="994"/>
      <c r="EZI3" s="994"/>
      <c r="EZJ3" s="994"/>
      <c r="EZK3" s="994"/>
      <c r="EZL3" s="994"/>
      <c r="EZM3" s="994"/>
      <c r="EZN3" s="994"/>
      <c r="EZO3" s="994"/>
      <c r="EZP3" s="994"/>
      <c r="EZQ3" s="994"/>
      <c r="EZR3" s="994"/>
      <c r="EZS3" s="994"/>
      <c r="EZT3" s="994"/>
      <c r="EZU3" s="994"/>
      <c r="EZV3" s="994"/>
      <c r="EZW3" s="994"/>
      <c r="EZX3" s="994"/>
      <c r="EZY3" s="994"/>
      <c r="EZZ3" s="994"/>
      <c r="FAA3" s="994"/>
      <c r="FAB3" s="994"/>
      <c r="FAC3" s="994"/>
      <c r="FAD3" s="994"/>
      <c r="FAE3" s="994"/>
      <c r="FAF3" s="994"/>
      <c r="FAG3" s="994"/>
      <c r="FAH3" s="994"/>
      <c r="FAI3" s="994"/>
      <c r="FAJ3" s="994"/>
      <c r="FAK3" s="994"/>
      <c r="FAL3" s="994"/>
      <c r="FAM3" s="994"/>
      <c r="FAN3" s="994"/>
      <c r="FAO3" s="994"/>
      <c r="FAP3" s="994"/>
      <c r="FAQ3" s="994"/>
      <c r="FAR3" s="994"/>
      <c r="FAS3" s="994"/>
      <c r="FAT3" s="994"/>
      <c r="FAU3" s="994"/>
      <c r="FAV3" s="994"/>
      <c r="FAW3" s="994"/>
      <c r="FAX3" s="994"/>
      <c r="FAY3" s="994"/>
      <c r="FAZ3" s="994"/>
      <c r="FBA3" s="994"/>
      <c r="FBB3" s="994"/>
      <c r="FBC3" s="994"/>
      <c r="FBD3" s="994"/>
      <c r="FBE3" s="994"/>
      <c r="FBF3" s="994"/>
      <c r="FBG3" s="994"/>
      <c r="FBH3" s="994"/>
      <c r="FBI3" s="994"/>
      <c r="FBJ3" s="994"/>
      <c r="FBK3" s="994"/>
      <c r="FBL3" s="994"/>
      <c r="FBM3" s="994"/>
      <c r="FBN3" s="994"/>
      <c r="FBO3" s="994"/>
      <c r="FBP3" s="994"/>
      <c r="FBQ3" s="994"/>
      <c r="FBR3" s="994"/>
      <c r="FBS3" s="994"/>
      <c r="FBT3" s="994"/>
      <c r="FBU3" s="994"/>
      <c r="FBV3" s="994"/>
      <c r="FBW3" s="994"/>
      <c r="FBX3" s="994"/>
      <c r="FBY3" s="994"/>
      <c r="FBZ3" s="994"/>
      <c r="FCA3" s="994"/>
      <c r="FCB3" s="994"/>
      <c r="FCC3" s="994"/>
      <c r="FCD3" s="994"/>
      <c r="FCE3" s="994"/>
      <c r="FCF3" s="994"/>
      <c r="FCG3" s="994"/>
      <c r="FCH3" s="994"/>
      <c r="FCI3" s="994"/>
      <c r="FCJ3" s="994"/>
      <c r="FCK3" s="994"/>
      <c r="FCL3" s="994"/>
      <c r="FCM3" s="994"/>
      <c r="FCN3" s="994"/>
      <c r="FCO3" s="994"/>
      <c r="FCP3" s="994"/>
      <c r="FCQ3" s="994"/>
      <c r="FCR3" s="994"/>
      <c r="FCS3" s="994"/>
      <c r="FCT3" s="994"/>
      <c r="FCU3" s="994"/>
      <c r="FCV3" s="994"/>
      <c r="FCW3" s="994"/>
      <c r="FCX3" s="994"/>
      <c r="FCY3" s="994"/>
      <c r="FCZ3" s="994"/>
      <c r="FDA3" s="994"/>
      <c r="FDB3" s="994"/>
      <c r="FDC3" s="994"/>
      <c r="FDD3" s="994"/>
      <c r="FDE3" s="994"/>
      <c r="FDF3" s="994"/>
      <c r="FDG3" s="994"/>
      <c r="FDH3" s="994"/>
      <c r="FDI3" s="994"/>
      <c r="FDJ3" s="994"/>
      <c r="FDK3" s="994"/>
      <c r="FDL3" s="994"/>
      <c r="FDM3" s="994"/>
      <c r="FDN3" s="994"/>
      <c r="FDO3" s="994"/>
      <c r="FDP3" s="994"/>
      <c r="FDQ3" s="994"/>
      <c r="FDR3" s="994"/>
      <c r="FDS3" s="994"/>
      <c r="FDT3" s="994"/>
      <c r="FDU3" s="994"/>
      <c r="FDV3" s="994"/>
      <c r="FDW3" s="994"/>
      <c r="FDX3" s="994"/>
      <c r="FDY3" s="994"/>
      <c r="FDZ3" s="994"/>
      <c r="FEA3" s="994"/>
      <c r="FEB3" s="994"/>
      <c r="FEC3" s="994"/>
      <c r="FED3" s="994"/>
      <c r="FEE3" s="994"/>
      <c r="FEF3" s="994"/>
      <c r="FEG3" s="994"/>
      <c r="FEH3" s="994"/>
      <c r="FEI3" s="994"/>
      <c r="FEJ3" s="994"/>
      <c r="FEK3" s="994"/>
      <c r="FEL3" s="994"/>
      <c r="FEM3" s="994"/>
      <c r="FEN3" s="994"/>
      <c r="FEO3" s="994"/>
      <c r="FEP3" s="994"/>
      <c r="FEQ3" s="994"/>
      <c r="FER3" s="994"/>
      <c r="FES3" s="994"/>
      <c r="FET3" s="994"/>
      <c r="FEU3" s="994"/>
      <c r="FEV3" s="994"/>
      <c r="FEW3" s="994"/>
      <c r="FEX3" s="994"/>
      <c r="FEY3" s="994"/>
      <c r="FEZ3" s="994"/>
      <c r="FFA3" s="994"/>
      <c r="FFB3" s="994"/>
      <c r="FFC3" s="994"/>
      <c r="FFD3" s="994"/>
      <c r="FFE3" s="994"/>
      <c r="FFF3" s="994"/>
      <c r="FFG3" s="994"/>
      <c r="FFH3" s="994"/>
      <c r="FFI3" s="994"/>
      <c r="FFJ3" s="994"/>
      <c r="FFK3" s="994"/>
      <c r="FFL3" s="994"/>
      <c r="FFM3" s="994"/>
      <c r="FFN3" s="994"/>
      <c r="FFO3" s="994"/>
      <c r="FFP3" s="994"/>
      <c r="FFQ3" s="994"/>
      <c r="FFR3" s="994"/>
      <c r="FFS3" s="994"/>
      <c r="FFT3" s="994"/>
      <c r="FFU3" s="994"/>
      <c r="FFV3" s="994"/>
      <c r="FFW3" s="994"/>
      <c r="FFX3" s="994"/>
      <c r="FFY3" s="994"/>
      <c r="FFZ3" s="994"/>
      <c r="FGA3" s="994"/>
      <c r="FGB3" s="994"/>
      <c r="FGC3" s="994"/>
      <c r="FGD3" s="994"/>
      <c r="FGE3" s="994"/>
      <c r="FGF3" s="994"/>
      <c r="FGG3" s="994"/>
      <c r="FGH3" s="994"/>
      <c r="FGI3" s="994"/>
      <c r="FGJ3" s="994"/>
      <c r="FGK3" s="994"/>
      <c r="FGL3" s="994"/>
      <c r="FGM3" s="994"/>
      <c r="FGN3" s="994"/>
      <c r="FGO3" s="994"/>
      <c r="FGP3" s="994"/>
      <c r="FGQ3" s="994"/>
      <c r="FGR3" s="994"/>
      <c r="FGS3" s="994"/>
      <c r="FGT3" s="994"/>
      <c r="FGU3" s="994"/>
      <c r="FGV3" s="994"/>
      <c r="FGW3" s="994"/>
      <c r="FGX3" s="994"/>
      <c r="FGY3" s="994"/>
      <c r="FGZ3" s="994"/>
      <c r="FHA3" s="994"/>
      <c r="FHB3" s="994"/>
      <c r="FHC3" s="994"/>
      <c r="FHD3" s="994"/>
      <c r="FHE3" s="994"/>
      <c r="FHF3" s="994"/>
      <c r="FHG3" s="994"/>
      <c r="FHH3" s="994"/>
      <c r="FHI3" s="994"/>
      <c r="FHJ3" s="994"/>
      <c r="FHK3" s="994"/>
      <c r="FHL3" s="994"/>
      <c r="FHM3" s="994"/>
      <c r="FHN3" s="994"/>
      <c r="FHO3" s="994"/>
      <c r="FHP3" s="994"/>
      <c r="FHQ3" s="994"/>
      <c r="FHR3" s="994"/>
      <c r="FHS3" s="994"/>
      <c r="FHT3" s="994"/>
      <c r="FHU3" s="994"/>
      <c r="FHV3" s="994"/>
      <c r="FHW3" s="994"/>
      <c r="FHX3" s="994"/>
      <c r="FHY3" s="994"/>
      <c r="FHZ3" s="994"/>
      <c r="FIA3" s="994"/>
      <c r="FIB3" s="994"/>
      <c r="FIC3" s="994"/>
      <c r="FID3" s="994"/>
      <c r="FIE3" s="994"/>
      <c r="FIF3" s="994"/>
      <c r="FIG3" s="994"/>
      <c r="FIH3" s="994"/>
      <c r="FII3" s="994"/>
      <c r="FIJ3" s="994"/>
      <c r="FIK3" s="994"/>
      <c r="FIL3" s="994"/>
      <c r="FIM3" s="994"/>
      <c r="FIN3" s="994"/>
      <c r="FIO3" s="994"/>
      <c r="FIP3" s="994"/>
      <c r="FIQ3" s="994"/>
      <c r="FIR3" s="994"/>
      <c r="FIS3" s="994"/>
      <c r="FIT3" s="994"/>
      <c r="FIU3" s="994"/>
      <c r="FIV3" s="994"/>
      <c r="FIW3" s="994"/>
      <c r="FIX3" s="994"/>
      <c r="FIY3" s="994"/>
      <c r="FIZ3" s="994"/>
      <c r="FJA3" s="994"/>
      <c r="FJB3" s="994"/>
      <c r="FJC3" s="994"/>
      <c r="FJD3" s="994"/>
      <c r="FJE3" s="994"/>
      <c r="FJF3" s="994"/>
      <c r="FJG3" s="994"/>
      <c r="FJH3" s="994"/>
      <c r="FJI3" s="994"/>
      <c r="FJJ3" s="994"/>
      <c r="FJK3" s="994"/>
      <c r="FJL3" s="994"/>
      <c r="FJM3" s="994"/>
      <c r="FJN3" s="994"/>
      <c r="FJO3" s="994"/>
      <c r="FJP3" s="994"/>
      <c r="FJQ3" s="994"/>
      <c r="FJR3" s="994"/>
      <c r="FJS3" s="994"/>
      <c r="FJT3" s="994"/>
      <c r="FJU3" s="994"/>
      <c r="FJV3" s="994"/>
      <c r="FJW3" s="994"/>
      <c r="FJX3" s="994"/>
      <c r="FJY3" s="994"/>
      <c r="FJZ3" s="994"/>
      <c r="FKA3" s="994"/>
      <c r="FKB3" s="994"/>
      <c r="FKC3" s="994"/>
      <c r="FKD3" s="994"/>
      <c r="FKE3" s="994"/>
      <c r="FKF3" s="994"/>
      <c r="FKG3" s="994"/>
      <c r="FKH3" s="994"/>
      <c r="FKI3" s="994"/>
      <c r="FKJ3" s="994"/>
      <c r="FKK3" s="994"/>
      <c r="FKL3" s="994"/>
      <c r="FKM3" s="994"/>
      <c r="FKN3" s="994"/>
      <c r="FKO3" s="994"/>
      <c r="FKP3" s="994"/>
      <c r="FKQ3" s="994"/>
      <c r="FKR3" s="994"/>
      <c r="FKS3" s="994"/>
      <c r="FKT3" s="994"/>
      <c r="FKU3" s="994"/>
      <c r="FKV3" s="994"/>
      <c r="FKW3" s="994"/>
      <c r="FKX3" s="994"/>
      <c r="FKY3" s="994"/>
      <c r="FKZ3" s="994"/>
      <c r="FLA3" s="994"/>
      <c r="FLB3" s="994"/>
      <c r="FLC3" s="994"/>
      <c r="FLD3" s="994"/>
      <c r="FLE3" s="994"/>
      <c r="FLF3" s="994"/>
      <c r="FLG3" s="994"/>
      <c r="FLH3" s="994"/>
      <c r="FLI3" s="994"/>
      <c r="FLJ3" s="994"/>
      <c r="FLK3" s="994"/>
      <c r="FLL3" s="994"/>
      <c r="FLM3" s="994"/>
      <c r="FLN3" s="994"/>
      <c r="FLO3" s="994"/>
      <c r="FLP3" s="994"/>
      <c r="FLQ3" s="994"/>
      <c r="FLR3" s="994"/>
      <c r="FLS3" s="994"/>
      <c r="FLT3" s="994"/>
      <c r="FLU3" s="994"/>
      <c r="FLV3" s="994"/>
      <c r="FLW3" s="994"/>
      <c r="FLX3" s="994"/>
      <c r="FLY3" s="994"/>
      <c r="FLZ3" s="994"/>
      <c r="FMA3" s="994"/>
      <c r="FMB3" s="994"/>
      <c r="FMC3" s="994"/>
      <c r="FMD3" s="994"/>
      <c r="FME3" s="994"/>
      <c r="FMF3" s="994"/>
      <c r="FMG3" s="994"/>
      <c r="FMH3" s="994"/>
      <c r="FMI3" s="994"/>
      <c r="FMJ3" s="994"/>
      <c r="FMK3" s="994"/>
      <c r="FML3" s="994"/>
      <c r="FMM3" s="994"/>
      <c r="FMN3" s="994"/>
      <c r="FMO3" s="994"/>
      <c r="FMP3" s="994"/>
      <c r="FMQ3" s="994"/>
      <c r="FMR3" s="994"/>
      <c r="FMS3" s="994"/>
      <c r="FMT3" s="994"/>
      <c r="FMU3" s="994"/>
      <c r="FMV3" s="994"/>
      <c r="FMW3" s="994"/>
      <c r="FMX3" s="994"/>
      <c r="FMY3" s="994"/>
      <c r="FMZ3" s="994"/>
      <c r="FNA3" s="994"/>
      <c r="FNB3" s="994"/>
      <c r="FNC3" s="994"/>
      <c r="FND3" s="994"/>
      <c r="FNE3" s="994"/>
      <c r="FNF3" s="994"/>
      <c r="FNG3" s="994"/>
      <c r="FNH3" s="994"/>
      <c r="FNI3" s="994"/>
      <c r="FNJ3" s="994"/>
      <c r="FNK3" s="994"/>
      <c r="FNL3" s="994"/>
      <c r="FNM3" s="994"/>
      <c r="FNN3" s="994"/>
      <c r="FNO3" s="994"/>
      <c r="FNP3" s="994"/>
      <c r="FNQ3" s="994"/>
      <c r="FNR3" s="994"/>
      <c r="FNS3" s="994"/>
      <c r="FNT3" s="994"/>
      <c r="FNU3" s="994"/>
      <c r="FNV3" s="994"/>
      <c r="FNW3" s="994"/>
      <c r="FNX3" s="994"/>
      <c r="FNY3" s="994"/>
      <c r="FNZ3" s="994"/>
      <c r="FOA3" s="994"/>
      <c r="FOB3" s="994"/>
      <c r="FOC3" s="994"/>
      <c r="FOD3" s="994"/>
      <c r="FOE3" s="994"/>
      <c r="FOF3" s="994"/>
      <c r="FOG3" s="994"/>
      <c r="FOH3" s="994"/>
      <c r="FOI3" s="994"/>
      <c r="FOJ3" s="994"/>
      <c r="FOK3" s="994"/>
      <c r="FOL3" s="994"/>
      <c r="FOM3" s="994"/>
      <c r="FON3" s="994"/>
      <c r="FOO3" s="994"/>
      <c r="FOP3" s="994"/>
      <c r="FOQ3" s="994"/>
      <c r="FOR3" s="994"/>
      <c r="FOS3" s="994"/>
      <c r="FOT3" s="994"/>
      <c r="FOU3" s="994"/>
      <c r="FOV3" s="994"/>
      <c r="FOW3" s="994"/>
      <c r="FOX3" s="994"/>
      <c r="FOY3" s="994"/>
      <c r="FOZ3" s="994"/>
      <c r="FPA3" s="994"/>
      <c r="FPB3" s="994"/>
      <c r="FPC3" s="994"/>
      <c r="FPD3" s="994"/>
      <c r="FPE3" s="994"/>
      <c r="FPF3" s="994"/>
      <c r="FPG3" s="994"/>
      <c r="FPH3" s="994"/>
      <c r="FPI3" s="994"/>
      <c r="FPJ3" s="994"/>
      <c r="FPK3" s="994"/>
      <c r="FPL3" s="994"/>
      <c r="FPM3" s="994"/>
      <c r="FPN3" s="994"/>
      <c r="FPO3" s="994"/>
      <c r="FPP3" s="994"/>
      <c r="FPQ3" s="994"/>
      <c r="FPR3" s="994"/>
      <c r="FPS3" s="994"/>
      <c r="FPT3" s="994"/>
      <c r="FPU3" s="994"/>
      <c r="FPV3" s="994"/>
      <c r="FPW3" s="994"/>
      <c r="FPX3" s="994"/>
      <c r="FPY3" s="994"/>
      <c r="FPZ3" s="994"/>
      <c r="FQA3" s="994"/>
      <c r="FQB3" s="994"/>
      <c r="FQC3" s="994"/>
      <c r="FQD3" s="994"/>
      <c r="FQE3" s="994"/>
      <c r="FQF3" s="994"/>
      <c r="FQG3" s="994"/>
      <c r="FQH3" s="994"/>
      <c r="FQI3" s="994"/>
      <c r="FQJ3" s="994"/>
      <c r="FQK3" s="994"/>
      <c r="FQL3" s="994"/>
      <c r="FQM3" s="994"/>
      <c r="FQN3" s="994"/>
      <c r="FQO3" s="994"/>
      <c r="FQP3" s="994"/>
      <c r="FQQ3" s="994"/>
      <c r="FQR3" s="994"/>
      <c r="FQS3" s="994"/>
      <c r="FQT3" s="994"/>
      <c r="FQU3" s="994"/>
      <c r="FQV3" s="994"/>
      <c r="FQW3" s="994"/>
      <c r="FQX3" s="994"/>
      <c r="FQY3" s="994"/>
      <c r="FQZ3" s="994"/>
      <c r="FRA3" s="994"/>
      <c r="FRB3" s="994"/>
      <c r="FRC3" s="994"/>
      <c r="FRD3" s="994"/>
      <c r="FRE3" s="994"/>
      <c r="FRF3" s="994"/>
      <c r="FRG3" s="994"/>
      <c r="FRH3" s="994"/>
      <c r="FRI3" s="994"/>
      <c r="FRJ3" s="994"/>
      <c r="FRK3" s="994"/>
      <c r="FRL3" s="994"/>
      <c r="FRM3" s="994"/>
      <c r="FRN3" s="994"/>
      <c r="FRO3" s="994"/>
      <c r="FRP3" s="994"/>
      <c r="FRQ3" s="994"/>
      <c r="FRR3" s="994"/>
      <c r="FRS3" s="994"/>
      <c r="FRT3" s="994"/>
      <c r="FRU3" s="994"/>
      <c r="FRV3" s="994"/>
      <c r="FRW3" s="994"/>
      <c r="FRX3" s="994"/>
      <c r="FRY3" s="994"/>
      <c r="FRZ3" s="994"/>
      <c r="FSA3" s="994"/>
      <c r="FSB3" s="994"/>
      <c r="FSC3" s="994"/>
      <c r="FSD3" s="994"/>
      <c r="FSE3" s="994"/>
      <c r="FSF3" s="994"/>
      <c r="FSG3" s="994"/>
      <c r="FSH3" s="994"/>
      <c r="FSI3" s="994"/>
      <c r="FSJ3" s="994"/>
      <c r="FSK3" s="994"/>
      <c r="FSL3" s="994"/>
      <c r="FSM3" s="994"/>
      <c r="FSN3" s="994"/>
      <c r="FSO3" s="994"/>
      <c r="FSP3" s="994"/>
      <c r="FSQ3" s="994"/>
      <c r="FSR3" s="994"/>
      <c r="FSS3" s="994"/>
      <c r="FST3" s="994"/>
      <c r="FSU3" s="994"/>
      <c r="FSV3" s="994"/>
      <c r="FSW3" s="994"/>
      <c r="FSX3" s="994"/>
      <c r="FSY3" s="994"/>
      <c r="FSZ3" s="994"/>
      <c r="FTA3" s="994"/>
      <c r="FTB3" s="994"/>
      <c r="FTC3" s="994"/>
      <c r="FTD3" s="994"/>
      <c r="FTE3" s="994"/>
      <c r="FTF3" s="994"/>
      <c r="FTG3" s="994"/>
      <c r="FTH3" s="994"/>
      <c r="FTI3" s="994"/>
      <c r="FTJ3" s="994"/>
      <c r="FTK3" s="994"/>
      <c r="FTL3" s="994"/>
      <c r="FTM3" s="994"/>
      <c r="FTN3" s="994"/>
      <c r="FTO3" s="994"/>
      <c r="FTP3" s="994"/>
      <c r="FTQ3" s="994"/>
      <c r="FTR3" s="994"/>
      <c r="FTS3" s="994"/>
      <c r="FTT3" s="994"/>
      <c r="FTU3" s="994"/>
      <c r="FTV3" s="994"/>
      <c r="FTW3" s="994"/>
      <c r="FTX3" s="994"/>
      <c r="FTY3" s="994"/>
      <c r="FTZ3" s="994"/>
      <c r="FUA3" s="994"/>
      <c r="FUB3" s="994"/>
      <c r="FUC3" s="994"/>
      <c r="FUD3" s="994"/>
      <c r="FUE3" s="994"/>
      <c r="FUF3" s="994"/>
      <c r="FUG3" s="994"/>
      <c r="FUH3" s="994"/>
      <c r="FUI3" s="994"/>
      <c r="FUJ3" s="994"/>
      <c r="FUK3" s="994"/>
      <c r="FUL3" s="994"/>
      <c r="FUM3" s="994"/>
      <c r="FUN3" s="994"/>
      <c r="FUO3" s="994"/>
      <c r="FUP3" s="994"/>
      <c r="FUQ3" s="994"/>
      <c r="FUR3" s="994"/>
      <c r="FUS3" s="994"/>
      <c r="FUT3" s="994"/>
      <c r="FUU3" s="994"/>
      <c r="FUV3" s="994"/>
      <c r="FUW3" s="994"/>
      <c r="FUX3" s="994"/>
      <c r="FUY3" s="994"/>
      <c r="FUZ3" s="994"/>
      <c r="FVA3" s="994"/>
      <c r="FVB3" s="994"/>
      <c r="FVC3" s="994"/>
      <c r="FVD3" s="994"/>
      <c r="FVE3" s="994"/>
      <c r="FVF3" s="994"/>
      <c r="FVG3" s="994"/>
      <c r="FVH3" s="994"/>
      <c r="FVI3" s="994"/>
      <c r="FVJ3" s="994"/>
      <c r="FVK3" s="994"/>
      <c r="FVL3" s="994"/>
      <c r="FVM3" s="994"/>
      <c r="FVN3" s="994"/>
      <c r="FVO3" s="994"/>
      <c r="FVP3" s="994"/>
      <c r="FVQ3" s="994"/>
      <c r="FVR3" s="994"/>
      <c r="FVS3" s="994"/>
      <c r="FVT3" s="994"/>
      <c r="FVU3" s="994"/>
      <c r="FVV3" s="994"/>
      <c r="FVW3" s="994"/>
      <c r="FVX3" s="994"/>
      <c r="FVY3" s="994"/>
      <c r="FVZ3" s="994"/>
      <c r="FWA3" s="994"/>
      <c r="FWB3" s="994"/>
      <c r="FWC3" s="994"/>
      <c r="FWD3" s="994"/>
      <c r="FWE3" s="994"/>
      <c r="FWF3" s="994"/>
      <c r="FWG3" s="994"/>
      <c r="FWH3" s="994"/>
      <c r="FWI3" s="994"/>
      <c r="FWJ3" s="994"/>
      <c r="FWK3" s="994"/>
      <c r="FWL3" s="994"/>
      <c r="FWM3" s="994"/>
      <c r="FWN3" s="994"/>
      <c r="FWO3" s="994"/>
      <c r="FWP3" s="994"/>
      <c r="FWQ3" s="994"/>
      <c r="FWR3" s="994"/>
      <c r="FWS3" s="994"/>
      <c r="FWT3" s="994"/>
      <c r="FWU3" s="994"/>
      <c r="FWV3" s="994"/>
      <c r="FWW3" s="994"/>
      <c r="FWX3" s="994"/>
      <c r="FWY3" s="994"/>
      <c r="FWZ3" s="994"/>
      <c r="FXA3" s="994"/>
      <c r="FXB3" s="994"/>
      <c r="FXC3" s="994"/>
      <c r="FXD3" s="994"/>
      <c r="FXE3" s="994"/>
      <c r="FXF3" s="994"/>
      <c r="FXG3" s="994"/>
      <c r="FXH3" s="994"/>
      <c r="FXI3" s="994"/>
      <c r="FXJ3" s="994"/>
      <c r="FXK3" s="994"/>
      <c r="FXL3" s="994"/>
      <c r="FXM3" s="994"/>
      <c r="FXN3" s="994"/>
      <c r="FXO3" s="994"/>
      <c r="FXP3" s="994"/>
      <c r="FXQ3" s="994"/>
      <c r="FXR3" s="994"/>
      <c r="FXS3" s="994"/>
      <c r="FXT3" s="994"/>
      <c r="FXU3" s="994"/>
      <c r="FXV3" s="994"/>
      <c r="FXW3" s="994"/>
      <c r="FXX3" s="994"/>
      <c r="FXY3" s="994"/>
      <c r="FXZ3" s="994"/>
      <c r="FYA3" s="994"/>
      <c r="FYB3" s="994"/>
      <c r="FYC3" s="994"/>
      <c r="FYD3" s="994"/>
      <c r="FYE3" s="994"/>
      <c r="FYF3" s="994"/>
      <c r="FYG3" s="994"/>
      <c r="FYH3" s="994"/>
      <c r="FYI3" s="994"/>
      <c r="FYJ3" s="994"/>
      <c r="FYK3" s="994"/>
      <c r="FYL3" s="994"/>
      <c r="FYM3" s="994"/>
      <c r="FYN3" s="994"/>
      <c r="FYO3" s="994"/>
      <c r="FYP3" s="994"/>
      <c r="FYQ3" s="994"/>
      <c r="FYR3" s="994"/>
      <c r="FYS3" s="994"/>
      <c r="FYT3" s="994"/>
      <c r="FYU3" s="994"/>
      <c r="FYV3" s="994"/>
      <c r="FYW3" s="994"/>
      <c r="FYX3" s="994"/>
      <c r="FYY3" s="994"/>
      <c r="FYZ3" s="994"/>
      <c r="FZA3" s="994"/>
      <c r="FZB3" s="994"/>
      <c r="FZC3" s="994"/>
      <c r="FZD3" s="994"/>
      <c r="FZE3" s="994"/>
      <c r="FZF3" s="994"/>
      <c r="FZG3" s="994"/>
      <c r="FZH3" s="994"/>
      <c r="FZI3" s="994"/>
      <c r="FZJ3" s="994"/>
      <c r="FZK3" s="994"/>
      <c r="FZL3" s="994"/>
      <c r="FZM3" s="994"/>
      <c r="FZN3" s="994"/>
      <c r="FZO3" s="994"/>
      <c r="FZP3" s="994"/>
      <c r="FZQ3" s="994"/>
      <c r="FZR3" s="994"/>
      <c r="FZS3" s="994"/>
      <c r="FZT3" s="994"/>
      <c r="FZU3" s="994"/>
      <c r="FZV3" s="994"/>
      <c r="FZW3" s="994"/>
      <c r="FZX3" s="994"/>
      <c r="FZY3" s="994"/>
      <c r="FZZ3" s="994"/>
      <c r="GAA3" s="994"/>
      <c r="GAB3" s="994"/>
      <c r="GAC3" s="994"/>
      <c r="GAD3" s="994"/>
      <c r="GAE3" s="994"/>
      <c r="GAF3" s="994"/>
      <c r="GAG3" s="994"/>
      <c r="GAH3" s="994"/>
      <c r="GAI3" s="994"/>
      <c r="GAJ3" s="994"/>
      <c r="GAK3" s="994"/>
      <c r="GAL3" s="994"/>
      <c r="GAM3" s="994"/>
      <c r="GAN3" s="994"/>
      <c r="GAO3" s="994"/>
      <c r="GAP3" s="994"/>
      <c r="GAQ3" s="994"/>
      <c r="GAR3" s="994"/>
      <c r="GAS3" s="994"/>
      <c r="GAT3" s="994"/>
      <c r="GAU3" s="994"/>
      <c r="GAV3" s="994"/>
      <c r="GAW3" s="994"/>
      <c r="GAX3" s="994"/>
      <c r="GAY3" s="994"/>
      <c r="GAZ3" s="994"/>
      <c r="GBA3" s="994"/>
      <c r="GBB3" s="994"/>
      <c r="GBC3" s="994"/>
      <c r="GBD3" s="994"/>
      <c r="GBE3" s="994"/>
      <c r="GBF3" s="994"/>
      <c r="GBG3" s="994"/>
      <c r="GBH3" s="994"/>
      <c r="GBI3" s="994"/>
      <c r="GBJ3" s="994"/>
      <c r="GBK3" s="994"/>
      <c r="GBL3" s="994"/>
      <c r="GBM3" s="994"/>
      <c r="GBN3" s="994"/>
      <c r="GBO3" s="994"/>
      <c r="GBP3" s="994"/>
      <c r="GBQ3" s="994"/>
      <c r="GBR3" s="994"/>
      <c r="GBS3" s="994"/>
      <c r="GBT3" s="994"/>
      <c r="GBU3" s="994"/>
      <c r="GBV3" s="994"/>
      <c r="GBW3" s="994"/>
      <c r="GBX3" s="994"/>
      <c r="GBY3" s="994"/>
      <c r="GBZ3" s="994"/>
      <c r="GCA3" s="994"/>
      <c r="GCB3" s="994"/>
      <c r="GCC3" s="994"/>
      <c r="GCD3" s="994"/>
      <c r="GCE3" s="994"/>
      <c r="GCF3" s="994"/>
      <c r="GCG3" s="994"/>
      <c r="GCH3" s="994"/>
      <c r="GCI3" s="994"/>
      <c r="GCJ3" s="994"/>
      <c r="GCK3" s="994"/>
      <c r="GCL3" s="994"/>
      <c r="GCM3" s="994"/>
      <c r="GCN3" s="994"/>
      <c r="GCO3" s="994"/>
      <c r="GCP3" s="994"/>
      <c r="GCQ3" s="994"/>
      <c r="GCR3" s="994"/>
      <c r="GCS3" s="994"/>
      <c r="GCT3" s="994"/>
      <c r="GCU3" s="994"/>
      <c r="GCV3" s="994"/>
      <c r="GCW3" s="994"/>
      <c r="GCX3" s="994"/>
      <c r="GCY3" s="994"/>
      <c r="GCZ3" s="994"/>
      <c r="GDA3" s="994"/>
      <c r="GDB3" s="994"/>
      <c r="GDC3" s="994"/>
      <c r="GDD3" s="994"/>
      <c r="GDE3" s="994"/>
      <c r="GDF3" s="994"/>
      <c r="GDG3" s="994"/>
      <c r="GDH3" s="994"/>
      <c r="GDI3" s="994"/>
      <c r="GDJ3" s="994"/>
      <c r="GDK3" s="994"/>
      <c r="GDL3" s="994"/>
      <c r="GDM3" s="994"/>
      <c r="GDN3" s="994"/>
      <c r="GDO3" s="994"/>
      <c r="GDP3" s="994"/>
      <c r="GDQ3" s="994"/>
      <c r="GDR3" s="994"/>
      <c r="GDS3" s="994"/>
      <c r="GDT3" s="994"/>
      <c r="GDU3" s="994"/>
      <c r="GDV3" s="994"/>
      <c r="GDW3" s="994"/>
      <c r="GDX3" s="994"/>
      <c r="GDY3" s="994"/>
      <c r="GDZ3" s="994"/>
      <c r="GEA3" s="994"/>
      <c r="GEB3" s="994"/>
      <c r="GEC3" s="994"/>
      <c r="GED3" s="994"/>
      <c r="GEE3" s="994"/>
      <c r="GEF3" s="994"/>
      <c r="GEG3" s="994"/>
      <c r="GEH3" s="994"/>
      <c r="GEI3" s="994"/>
      <c r="GEJ3" s="994"/>
      <c r="GEK3" s="994"/>
      <c r="GEL3" s="994"/>
      <c r="GEM3" s="994"/>
      <c r="GEN3" s="994"/>
      <c r="GEO3" s="994"/>
      <c r="GEP3" s="994"/>
      <c r="GEQ3" s="994"/>
      <c r="GER3" s="994"/>
      <c r="GES3" s="994"/>
      <c r="GET3" s="994"/>
      <c r="GEU3" s="994"/>
      <c r="GEV3" s="994"/>
      <c r="GEW3" s="994"/>
      <c r="GEX3" s="994"/>
      <c r="GEY3" s="994"/>
      <c r="GEZ3" s="994"/>
      <c r="GFA3" s="994"/>
      <c r="GFB3" s="994"/>
      <c r="GFC3" s="994"/>
      <c r="GFD3" s="994"/>
      <c r="GFE3" s="994"/>
      <c r="GFF3" s="994"/>
      <c r="GFG3" s="994"/>
      <c r="GFH3" s="994"/>
      <c r="GFI3" s="994"/>
      <c r="GFJ3" s="994"/>
      <c r="GFK3" s="994"/>
      <c r="GFL3" s="994"/>
      <c r="GFM3" s="994"/>
      <c r="GFN3" s="994"/>
      <c r="GFO3" s="994"/>
      <c r="GFP3" s="994"/>
      <c r="GFQ3" s="994"/>
      <c r="GFR3" s="994"/>
      <c r="GFS3" s="994"/>
      <c r="GFT3" s="994"/>
      <c r="GFU3" s="994"/>
      <c r="GFV3" s="994"/>
      <c r="GFW3" s="994"/>
      <c r="GFX3" s="994"/>
      <c r="GFY3" s="994"/>
      <c r="GFZ3" s="994"/>
      <c r="GGA3" s="994"/>
      <c r="GGB3" s="994"/>
      <c r="GGC3" s="994"/>
      <c r="GGD3" s="994"/>
      <c r="GGE3" s="994"/>
      <c r="GGF3" s="994"/>
      <c r="GGG3" s="994"/>
      <c r="GGH3" s="994"/>
      <c r="GGI3" s="994"/>
      <c r="GGJ3" s="994"/>
      <c r="GGK3" s="994"/>
      <c r="GGL3" s="994"/>
      <c r="GGM3" s="994"/>
      <c r="GGN3" s="994"/>
      <c r="GGO3" s="994"/>
      <c r="GGP3" s="994"/>
      <c r="GGQ3" s="994"/>
      <c r="GGR3" s="994"/>
      <c r="GGS3" s="994"/>
      <c r="GGT3" s="994"/>
      <c r="GGU3" s="994"/>
      <c r="GGV3" s="994"/>
      <c r="GGW3" s="994"/>
      <c r="GGX3" s="994"/>
      <c r="GGY3" s="994"/>
      <c r="GGZ3" s="994"/>
      <c r="GHA3" s="994"/>
      <c r="GHB3" s="994"/>
      <c r="GHC3" s="994"/>
      <c r="GHD3" s="994"/>
      <c r="GHE3" s="994"/>
      <c r="GHF3" s="994"/>
      <c r="GHG3" s="994"/>
      <c r="GHH3" s="994"/>
      <c r="GHI3" s="994"/>
      <c r="GHJ3" s="994"/>
      <c r="GHK3" s="994"/>
      <c r="GHL3" s="994"/>
      <c r="GHM3" s="994"/>
      <c r="GHN3" s="994"/>
      <c r="GHO3" s="994"/>
      <c r="GHP3" s="994"/>
      <c r="GHQ3" s="994"/>
      <c r="GHR3" s="994"/>
      <c r="GHS3" s="994"/>
      <c r="GHT3" s="994"/>
      <c r="GHU3" s="994"/>
      <c r="GHV3" s="994"/>
      <c r="GHW3" s="994"/>
      <c r="GHX3" s="994"/>
      <c r="GHY3" s="994"/>
      <c r="GHZ3" s="994"/>
      <c r="GIA3" s="994"/>
      <c r="GIB3" s="994"/>
      <c r="GIC3" s="994"/>
      <c r="GID3" s="994"/>
      <c r="GIE3" s="994"/>
      <c r="GIF3" s="994"/>
      <c r="GIG3" s="994"/>
      <c r="GIH3" s="994"/>
      <c r="GII3" s="994"/>
      <c r="GIJ3" s="994"/>
      <c r="GIK3" s="994"/>
      <c r="GIL3" s="994"/>
      <c r="GIM3" s="994"/>
      <c r="GIN3" s="994"/>
      <c r="GIO3" s="994"/>
      <c r="GIP3" s="994"/>
      <c r="GIQ3" s="994"/>
      <c r="GIR3" s="994"/>
      <c r="GIS3" s="994"/>
      <c r="GIT3" s="994"/>
      <c r="GIU3" s="994"/>
      <c r="GIV3" s="994"/>
      <c r="GIW3" s="994"/>
      <c r="GIX3" s="994"/>
      <c r="GIY3" s="994"/>
      <c r="GIZ3" s="994"/>
      <c r="GJA3" s="994"/>
      <c r="GJB3" s="994"/>
      <c r="GJC3" s="994"/>
      <c r="GJD3" s="994"/>
      <c r="GJE3" s="994"/>
      <c r="GJF3" s="994"/>
      <c r="GJG3" s="994"/>
      <c r="GJH3" s="994"/>
      <c r="GJI3" s="994"/>
      <c r="GJJ3" s="994"/>
      <c r="GJK3" s="994"/>
      <c r="GJL3" s="994"/>
      <c r="GJM3" s="994"/>
      <c r="GJN3" s="994"/>
      <c r="GJO3" s="994"/>
      <c r="GJP3" s="994"/>
      <c r="GJQ3" s="994"/>
      <c r="GJR3" s="994"/>
      <c r="GJS3" s="994"/>
      <c r="GJT3" s="994"/>
      <c r="GJU3" s="994"/>
      <c r="GJV3" s="994"/>
      <c r="GJW3" s="994"/>
      <c r="GJX3" s="994"/>
      <c r="GJY3" s="994"/>
      <c r="GJZ3" s="994"/>
      <c r="GKA3" s="994"/>
      <c r="GKB3" s="994"/>
      <c r="GKC3" s="994"/>
      <c r="GKD3" s="994"/>
      <c r="GKE3" s="994"/>
      <c r="GKF3" s="994"/>
      <c r="GKG3" s="994"/>
      <c r="GKH3" s="994"/>
      <c r="GKI3" s="994"/>
      <c r="GKJ3" s="994"/>
      <c r="GKK3" s="994"/>
      <c r="GKL3" s="994"/>
      <c r="GKM3" s="994"/>
      <c r="GKN3" s="994"/>
      <c r="GKO3" s="994"/>
      <c r="GKP3" s="994"/>
      <c r="GKQ3" s="994"/>
      <c r="GKR3" s="994"/>
      <c r="GKS3" s="994"/>
      <c r="GKT3" s="994"/>
      <c r="GKU3" s="994"/>
      <c r="GKV3" s="994"/>
      <c r="GKW3" s="994"/>
      <c r="GKX3" s="994"/>
      <c r="GKY3" s="994"/>
      <c r="GKZ3" s="994"/>
      <c r="GLA3" s="994"/>
      <c r="GLB3" s="994"/>
      <c r="GLC3" s="994"/>
      <c r="GLD3" s="994"/>
      <c r="GLE3" s="994"/>
      <c r="GLF3" s="994"/>
      <c r="GLG3" s="994"/>
      <c r="GLH3" s="994"/>
      <c r="GLI3" s="994"/>
      <c r="GLJ3" s="994"/>
      <c r="GLK3" s="994"/>
      <c r="GLL3" s="994"/>
      <c r="GLM3" s="994"/>
      <c r="GLN3" s="994"/>
      <c r="GLO3" s="994"/>
      <c r="GLP3" s="994"/>
      <c r="GLQ3" s="994"/>
      <c r="GLR3" s="994"/>
      <c r="GLS3" s="994"/>
      <c r="GLT3" s="994"/>
      <c r="GLU3" s="994"/>
      <c r="GLV3" s="994"/>
      <c r="GLW3" s="994"/>
      <c r="GLX3" s="994"/>
      <c r="GLY3" s="994"/>
      <c r="GLZ3" s="994"/>
      <c r="GMA3" s="994"/>
      <c r="GMB3" s="994"/>
      <c r="GMC3" s="994"/>
      <c r="GMD3" s="994"/>
      <c r="GME3" s="994"/>
      <c r="GMF3" s="994"/>
      <c r="GMG3" s="994"/>
      <c r="GMH3" s="994"/>
      <c r="GMI3" s="994"/>
      <c r="GMJ3" s="994"/>
      <c r="GMK3" s="994"/>
      <c r="GML3" s="994"/>
      <c r="GMM3" s="994"/>
      <c r="GMN3" s="994"/>
      <c r="GMO3" s="994"/>
      <c r="GMP3" s="994"/>
      <c r="GMQ3" s="994"/>
      <c r="GMR3" s="994"/>
      <c r="GMS3" s="994"/>
      <c r="GMT3" s="994"/>
      <c r="GMU3" s="994"/>
      <c r="GMV3" s="994"/>
      <c r="GMW3" s="994"/>
      <c r="GMX3" s="994"/>
      <c r="GMY3" s="994"/>
      <c r="GMZ3" s="994"/>
      <c r="GNA3" s="994"/>
      <c r="GNB3" s="994"/>
      <c r="GNC3" s="994"/>
      <c r="GND3" s="994"/>
      <c r="GNE3" s="994"/>
      <c r="GNF3" s="994"/>
      <c r="GNG3" s="994"/>
      <c r="GNH3" s="994"/>
      <c r="GNI3" s="994"/>
      <c r="GNJ3" s="994"/>
      <c r="GNK3" s="994"/>
      <c r="GNL3" s="994"/>
      <c r="GNM3" s="994"/>
      <c r="GNN3" s="994"/>
      <c r="GNO3" s="994"/>
      <c r="GNP3" s="994"/>
      <c r="GNQ3" s="994"/>
      <c r="GNR3" s="994"/>
      <c r="GNS3" s="994"/>
      <c r="GNT3" s="994"/>
      <c r="GNU3" s="994"/>
      <c r="GNV3" s="994"/>
      <c r="GNW3" s="994"/>
      <c r="GNX3" s="994"/>
      <c r="GNY3" s="994"/>
      <c r="GNZ3" s="994"/>
      <c r="GOA3" s="994"/>
      <c r="GOB3" s="994"/>
      <c r="GOC3" s="994"/>
      <c r="GOD3" s="994"/>
      <c r="GOE3" s="994"/>
      <c r="GOF3" s="994"/>
      <c r="GOG3" s="994"/>
      <c r="GOH3" s="994"/>
      <c r="GOI3" s="994"/>
      <c r="GOJ3" s="994"/>
      <c r="GOK3" s="994"/>
      <c r="GOL3" s="994"/>
      <c r="GOM3" s="994"/>
      <c r="GON3" s="994"/>
      <c r="GOO3" s="994"/>
      <c r="GOP3" s="994"/>
      <c r="GOQ3" s="994"/>
      <c r="GOR3" s="994"/>
      <c r="GOS3" s="994"/>
      <c r="GOT3" s="994"/>
      <c r="GOU3" s="994"/>
      <c r="GOV3" s="994"/>
      <c r="GOW3" s="994"/>
      <c r="GOX3" s="994"/>
      <c r="GOY3" s="994"/>
      <c r="GOZ3" s="994"/>
      <c r="GPA3" s="994"/>
      <c r="GPB3" s="994"/>
      <c r="GPC3" s="994"/>
      <c r="GPD3" s="994"/>
      <c r="GPE3" s="994"/>
      <c r="GPF3" s="994"/>
      <c r="GPG3" s="994"/>
      <c r="GPH3" s="994"/>
      <c r="GPI3" s="994"/>
      <c r="GPJ3" s="994"/>
      <c r="GPK3" s="994"/>
      <c r="GPL3" s="994"/>
      <c r="GPM3" s="994"/>
      <c r="GPN3" s="994"/>
      <c r="GPO3" s="994"/>
      <c r="GPP3" s="994"/>
      <c r="GPQ3" s="994"/>
      <c r="GPR3" s="994"/>
      <c r="GPS3" s="994"/>
      <c r="GPT3" s="994"/>
      <c r="GPU3" s="994"/>
      <c r="GPV3" s="994"/>
      <c r="GPW3" s="994"/>
      <c r="GPX3" s="994"/>
      <c r="GPY3" s="994"/>
      <c r="GPZ3" s="994"/>
      <c r="GQA3" s="994"/>
      <c r="GQB3" s="994"/>
      <c r="GQC3" s="994"/>
      <c r="GQD3" s="994"/>
      <c r="GQE3" s="994"/>
      <c r="GQF3" s="994"/>
      <c r="GQG3" s="994"/>
      <c r="GQH3" s="994"/>
      <c r="GQI3" s="994"/>
      <c r="GQJ3" s="994"/>
      <c r="GQK3" s="994"/>
      <c r="GQL3" s="994"/>
      <c r="GQM3" s="994"/>
      <c r="GQN3" s="994"/>
      <c r="GQO3" s="994"/>
      <c r="GQP3" s="994"/>
      <c r="GQQ3" s="994"/>
      <c r="GQR3" s="994"/>
      <c r="GQS3" s="994"/>
      <c r="GQT3" s="994"/>
      <c r="GQU3" s="994"/>
      <c r="GQV3" s="994"/>
      <c r="GQW3" s="994"/>
      <c r="GQX3" s="994"/>
      <c r="GQY3" s="994"/>
      <c r="GQZ3" s="994"/>
      <c r="GRA3" s="994"/>
      <c r="GRB3" s="994"/>
      <c r="GRC3" s="994"/>
      <c r="GRD3" s="994"/>
      <c r="GRE3" s="994"/>
      <c r="GRF3" s="994"/>
      <c r="GRG3" s="994"/>
      <c r="GRH3" s="994"/>
      <c r="GRI3" s="994"/>
      <c r="GRJ3" s="994"/>
      <c r="GRK3" s="994"/>
      <c r="GRL3" s="994"/>
      <c r="GRM3" s="994"/>
      <c r="GRN3" s="994"/>
      <c r="GRO3" s="994"/>
      <c r="GRP3" s="994"/>
      <c r="GRQ3" s="994"/>
      <c r="GRR3" s="994"/>
      <c r="GRS3" s="994"/>
      <c r="GRT3" s="994"/>
      <c r="GRU3" s="994"/>
      <c r="GRV3" s="994"/>
      <c r="GRW3" s="994"/>
      <c r="GRX3" s="994"/>
      <c r="GRY3" s="994"/>
      <c r="GRZ3" s="994"/>
      <c r="GSA3" s="994"/>
      <c r="GSB3" s="994"/>
      <c r="GSC3" s="994"/>
      <c r="GSD3" s="994"/>
      <c r="GSE3" s="994"/>
      <c r="GSF3" s="994"/>
      <c r="GSG3" s="994"/>
      <c r="GSH3" s="994"/>
      <c r="GSI3" s="994"/>
      <c r="GSJ3" s="994"/>
      <c r="GSK3" s="994"/>
      <c r="GSL3" s="994"/>
      <c r="GSM3" s="994"/>
      <c r="GSN3" s="994"/>
      <c r="GSO3" s="994"/>
      <c r="GSP3" s="994"/>
      <c r="GSQ3" s="994"/>
      <c r="GSR3" s="994"/>
      <c r="GSS3" s="994"/>
      <c r="GST3" s="994"/>
      <c r="GSU3" s="994"/>
      <c r="GSV3" s="994"/>
      <c r="GSW3" s="994"/>
      <c r="GSX3" s="994"/>
      <c r="GSY3" s="994"/>
      <c r="GSZ3" s="994"/>
      <c r="GTA3" s="994"/>
      <c r="GTB3" s="994"/>
      <c r="GTC3" s="994"/>
      <c r="GTD3" s="994"/>
      <c r="GTE3" s="994"/>
      <c r="GTF3" s="994"/>
      <c r="GTG3" s="994"/>
      <c r="GTH3" s="994"/>
      <c r="GTI3" s="994"/>
      <c r="GTJ3" s="994"/>
      <c r="GTK3" s="994"/>
      <c r="GTL3" s="994"/>
      <c r="GTM3" s="994"/>
      <c r="GTN3" s="994"/>
      <c r="GTO3" s="994"/>
      <c r="GTP3" s="994"/>
      <c r="GTQ3" s="994"/>
      <c r="GTR3" s="994"/>
      <c r="GTS3" s="994"/>
      <c r="GTT3" s="994"/>
      <c r="GTU3" s="994"/>
      <c r="GTV3" s="994"/>
      <c r="GTW3" s="994"/>
      <c r="GTX3" s="994"/>
      <c r="GTY3" s="994"/>
      <c r="GTZ3" s="994"/>
      <c r="GUA3" s="994"/>
      <c r="GUB3" s="994"/>
      <c r="GUC3" s="994"/>
      <c r="GUD3" s="994"/>
      <c r="GUE3" s="994"/>
      <c r="GUF3" s="994"/>
      <c r="GUG3" s="994"/>
      <c r="GUH3" s="994"/>
      <c r="GUI3" s="994"/>
      <c r="GUJ3" s="994"/>
      <c r="GUK3" s="994"/>
      <c r="GUL3" s="994"/>
      <c r="GUM3" s="994"/>
      <c r="GUN3" s="994"/>
      <c r="GUO3" s="994"/>
      <c r="GUP3" s="994"/>
      <c r="GUQ3" s="994"/>
      <c r="GUR3" s="994"/>
      <c r="GUS3" s="994"/>
      <c r="GUT3" s="994"/>
      <c r="GUU3" s="994"/>
      <c r="GUV3" s="994"/>
      <c r="GUW3" s="994"/>
      <c r="GUX3" s="994"/>
      <c r="GUY3" s="994"/>
      <c r="GUZ3" s="994"/>
      <c r="GVA3" s="994"/>
      <c r="GVB3" s="994"/>
      <c r="GVC3" s="994"/>
      <c r="GVD3" s="994"/>
      <c r="GVE3" s="994"/>
      <c r="GVF3" s="994"/>
      <c r="GVG3" s="994"/>
      <c r="GVH3" s="994"/>
      <c r="GVI3" s="994"/>
      <c r="GVJ3" s="994"/>
      <c r="GVK3" s="994"/>
      <c r="GVL3" s="994"/>
      <c r="GVM3" s="994"/>
      <c r="GVN3" s="994"/>
      <c r="GVO3" s="994"/>
      <c r="GVP3" s="994"/>
      <c r="GVQ3" s="994"/>
      <c r="GVR3" s="994"/>
      <c r="GVS3" s="994"/>
      <c r="GVT3" s="994"/>
      <c r="GVU3" s="994"/>
      <c r="GVV3" s="994"/>
      <c r="GVW3" s="994"/>
      <c r="GVX3" s="994"/>
      <c r="GVY3" s="994"/>
      <c r="GVZ3" s="994"/>
      <c r="GWA3" s="994"/>
      <c r="GWB3" s="994"/>
      <c r="GWC3" s="994"/>
      <c r="GWD3" s="994"/>
      <c r="GWE3" s="994"/>
      <c r="GWF3" s="994"/>
      <c r="GWG3" s="994"/>
      <c r="GWH3" s="994"/>
      <c r="GWI3" s="994"/>
      <c r="GWJ3" s="994"/>
      <c r="GWK3" s="994"/>
      <c r="GWL3" s="994"/>
      <c r="GWM3" s="994"/>
      <c r="GWN3" s="994"/>
      <c r="GWO3" s="994"/>
      <c r="GWP3" s="994"/>
      <c r="GWQ3" s="994"/>
      <c r="GWR3" s="994"/>
      <c r="GWS3" s="994"/>
      <c r="GWT3" s="994"/>
      <c r="GWU3" s="994"/>
      <c r="GWV3" s="994"/>
      <c r="GWW3" s="994"/>
      <c r="GWX3" s="994"/>
      <c r="GWY3" s="994"/>
      <c r="GWZ3" s="994"/>
      <c r="GXA3" s="994"/>
      <c r="GXB3" s="994"/>
      <c r="GXC3" s="994"/>
      <c r="GXD3" s="994"/>
      <c r="GXE3" s="994"/>
      <c r="GXF3" s="994"/>
      <c r="GXG3" s="994"/>
      <c r="GXH3" s="994"/>
      <c r="GXI3" s="994"/>
      <c r="GXJ3" s="994"/>
      <c r="GXK3" s="994"/>
      <c r="GXL3" s="994"/>
      <c r="GXM3" s="994"/>
      <c r="GXN3" s="994"/>
      <c r="GXO3" s="994"/>
      <c r="GXP3" s="994"/>
      <c r="GXQ3" s="994"/>
      <c r="GXR3" s="994"/>
      <c r="GXS3" s="994"/>
      <c r="GXT3" s="994"/>
      <c r="GXU3" s="994"/>
      <c r="GXV3" s="994"/>
      <c r="GXW3" s="994"/>
      <c r="GXX3" s="994"/>
      <c r="GXY3" s="994"/>
      <c r="GXZ3" s="994"/>
      <c r="GYA3" s="994"/>
      <c r="GYB3" s="994"/>
      <c r="GYC3" s="994"/>
      <c r="GYD3" s="994"/>
      <c r="GYE3" s="994"/>
      <c r="GYF3" s="994"/>
      <c r="GYG3" s="994"/>
      <c r="GYH3" s="994"/>
      <c r="GYI3" s="994"/>
      <c r="GYJ3" s="994"/>
      <c r="GYK3" s="994"/>
      <c r="GYL3" s="994"/>
      <c r="GYM3" s="994"/>
      <c r="GYN3" s="994"/>
      <c r="GYO3" s="994"/>
      <c r="GYP3" s="994"/>
      <c r="GYQ3" s="994"/>
      <c r="GYR3" s="994"/>
      <c r="GYS3" s="994"/>
      <c r="GYT3" s="994"/>
      <c r="GYU3" s="994"/>
      <c r="GYV3" s="994"/>
      <c r="GYW3" s="994"/>
      <c r="GYX3" s="994"/>
      <c r="GYY3" s="994"/>
      <c r="GYZ3" s="994"/>
      <c r="GZA3" s="994"/>
      <c r="GZB3" s="994"/>
      <c r="GZC3" s="994"/>
      <c r="GZD3" s="994"/>
      <c r="GZE3" s="994"/>
      <c r="GZF3" s="994"/>
      <c r="GZG3" s="994"/>
      <c r="GZH3" s="994"/>
      <c r="GZI3" s="994"/>
      <c r="GZJ3" s="994"/>
      <c r="GZK3" s="994"/>
      <c r="GZL3" s="994"/>
      <c r="GZM3" s="994"/>
      <c r="GZN3" s="994"/>
      <c r="GZO3" s="994"/>
      <c r="GZP3" s="994"/>
      <c r="GZQ3" s="994"/>
      <c r="GZR3" s="994"/>
      <c r="GZS3" s="994"/>
      <c r="GZT3" s="994"/>
      <c r="GZU3" s="994"/>
      <c r="GZV3" s="994"/>
      <c r="GZW3" s="994"/>
      <c r="GZX3" s="994"/>
      <c r="GZY3" s="994"/>
      <c r="GZZ3" s="994"/>
      <c r="HAA3" s="994"/>
      <c r="HAB3" s="994"/>
      <c r="HAC3" s="994"/>
      <c r="HAD3" s="994"/>
      <c r="HAE3" s="994"/>
      <c r="HAF3" s="994"/>
      <c r="HAG3" s="994"/>
      <c r="HAH3" s="994"/>
      <c r="HAI3" s="994"/>
      <c r="HAJ3" s="994"/>
      <c r="HAK3" s="994"/>
      <c r="HAL3" s="994"/>
      <c r="HAM3" s="994"/>
      <c r="HAN3" s="994"/>
      <c r="HAO3" s="994"/>
      <c r="HAP3" s="994"/>
      <c r="HAQ3" s="994"/>
      <c r="HAR3" s="994"/>
      <c r="HAS3" s="994"/>
      <c r="HAT3" s="994"/>
      <c r="HAU3" s="994"/>
      <c r="HAV3" s="994"/>
      <c r="HAW3" s="994"/>
      <c r="HAX3" s="994"/>
      <c r="HAY3" s="994"/>
      <c r="HAZ3" s="994"/>
      <c r="HBA3" s="994"/>
      <c r="HBB3" s="994"/>
      <c r="HBC3" s="994"/>
      <c r="HBD3" s="994"/>
      <c r="HBE3" s="994"/>
      <c r="HBF3" s="994"/>
      <c r="HBG3" s="994"/>
      <c r="HBH3" s="994"/>
      <c r="HBI3" s="994"/>
      <c r="HBJ3" s="994"/>
      <c r="HBK3" s="994"/>
      <c r="HBL3" s="994"/>
      <c r="HBM3" s="994"/>
      <c r="HBN3" s="994"/>
      <c r="HBO3" s="994"/>
      <c r="HBP3" s="994"/>
      <c r="HBQ3" s="994"/>
      <c r="HBR3" s="994"/>
      <c r="HBS3" s="994"/>
      <c r="HBT3" s="994"/>
      <c r="HBU3" s="994"/>
      <c r="HBV3" s="994"/>
      <c r="HBW3" s="994"/>
      <c r="HBX3" s="994"/>
      <c r="HBY3" s="994"/>
      <c r="HBZ3" s="994"/>
      <c r="HCA3" s="994"/>
      <c r="HCB3" s="994"/>
      <c r="HCC3" s="994"/>
      <c r="HCD3" s="994"/>
      <c r="HCE3" s="994"/>
      <c r="HCF3" s="994"/>
      <c r="HCG3" s="994"/>
      <c r="HCH3" s="994"/>
      <c r="HCI3" s="994"/>
      <c r="HCJ3" s="994"/>
      <c r="HCK3" s="994"/>
      <c r="HCL3" s="994"/>
      <c r="HCM3" s="994"/>
      <c r="HCN3" s="994"/>
      <c r="HCO3" s="994"/>
      <c r="HCP3" s="994"/>
      <c r="HCQ3" s="994"/>
      <c r="HCR3" s="994"/>
      <c r="HCS3" s="994"/>
      <c r="HCT3" s="994"/>
      <c r="HCU3" s="994"/>
      <c r="HCV3" s="994"/>
      <c r="HCW3" s="994"/>
      <c r="HCX3" s="994"/>
      <c r="HCY3" s="994"/>
      <c r="HCZ3" s="994"/>
      <c r="HDA3" s="994"/>
      <c r="HDB3" s="994"/>
      <c r="HDC3" s="994"/>
      <c r="HDD3" s="994"/>
      <c r="HDE3" s="994"/>
      <c r="HDF3" s="994"/>
      <c r="HDG3" s="994"/>
      <c r="HDH3" s="994"/>
      <c r="HDI3" s="994"/>
      <c r="HDJ3" s="994"/>
      <c r="HDK3" s="994"/>
      <c r="HDL3" s="994"/>
      <c r="HDM3" s="994"/>
      <c r="HDN3" s="994"/>
      <c r="HDO3" s="994"/>
      <c r="HDP3" s="994"/>
      <c r="HDQ3" s="994"/>
      <c r="HDR3" s="994"/>
      <c r="HDS3" s="994"/>
      <c r="HDT3" s="994"/>
      <c r="HDU3" s="994"/>
      <c r="HDV3" s="994"/>
      <c r="HDW3" s="994"/>
      <c r="HDX3" s="994"/>
      <c r="HDY3" s="994"/>
      <c r="HDZ3" s="994"/>
      <c r="HEA3" s="994"/>
      <c r="HEB3" s="994"/>
      <c r="HEC3" s="994"/>
      <c r="HED3" s="994"/>
      <c r="HEE3" s="994"/>
      <c r="HEF3" s="994"/>
      <c r="HEG3" s="994"/>
      <c r="HEH3" s="994"/>
      <c r="HEI3" s="994"/>
      <c r="HEJ3" s="994"/>
      <c r="HEK3" s="994"/>
      <c r="HEL3" s="994"/>
      <c r="HEM3" s="994"/>
      <c r="HEN3" s="994"/>
      <c r="HEO3" s="994"/>
      <c r="HEP3" s="994"/>
      <c r="HEQ3" s="994"/>
      <c r="HER3" s="994"/>
      <c r="HES3" s="994"/>
      <c r="HET3" s="994"/>
      <c r="HEU3" s="994"/>
      <c r="HEV3" s="994"/>
      <c r="HEW3" s="994"/>
      <c r="HEX3" s="994"/>
      <c r="HEY3" s="994"/>
      <c r="HEZ3" s="994"/>
      <c r="HFA3" s="994"/>
      <c r="HFB3" s="994"/>
      <c r="HFC3" s="994"/>
      <c r="HFD3" s="994"/>
      <c r="HFE3" s="994"/>
      <c r="HFF3" s="994"/>
      <c r="HFG3" s="994"/>
      <c r="HFH3" s="994"/>
      <c r="HFI3" s="994"/>
      <c r="HFJ3" s="994"/>
      <c r="HFK3" s="994"/>
      <c r="HFL3" s="994"/>
      <c r="HFM3" s="994"/>
      <c r="HFN3" s="994"/>
      <c r="HFO3" s="994"/>
      <c r="HFP3" s="994"/>
      <c r="HFQ3" s="994"/>
      <c r="HFR3" s="994"/>
      <c r="HFS3" s="994"/>
      <c r="HFT3" s="994"/>
      <c r="HFU3" s="994"/>
      <c r="HFV3" s="994"/>
      <c r="HFW3" s="994"/>
      <c r="HFX3" s="994"/>
      <c r="HFY3" s="994"/>
      <c r="HFZ3" s="994"/>
      <c r="HGA3" s="994"/>
      <c r="HGB3" s="994"/>
      <c r="HGC3" s="994"/>
      <c r="HGD3" s="994"/>
      <c r="HGE3" s="994"/>
      <c r="HGF3" s="994"/>
      <c r="HGG3" s="994"/>
      <c r="HGH3" s="994"/>
      <c r="HGI3" s="994"/>
      <c r="HGJ3" s="994"/>
      <c r="HGK3" s="994"/>
      <c r="HGL3" s="994"/>
      <c r="HGM3" s="994"/>
      <c r="HGN3" s="994"/>
      <c r="HGO3" s="994"/>
      <c r="HGP3" s="994"/>
      <c r="HGQ3" s="994"/>
      <c r="HGR3" s="994"/>
      <c r="HGS3" s="994"/>
      <c r="HGT3" s="994"/>
      <c r="HGU3" s="994"/>
      <c r="HGV3" s="994"/>
      <c r="HGW3" s="994"/>
      <c r="HGX3" s="994"/>
      <c r="HGY3" s="994"/>
      <c r="HGZ3" s="994"/>
      <c r="HHA3" s="994"/>
      <c r="HHB3" s="994"/>
      <c r="HHC3" s="994"/>
      <c r="HHD3" s="994"/>
      <c r="HHE3" s="994"/>
      <c r="HHF3" s="994"/>
      <c r="HHG3" s="994"/>
      <c r="HHH3" s="994"/>
      <c r="HHI3" s="994"/>
      <c r="HHJ3" s="994"/>
      <c r="HHK3" s="994"/>
      <c r="HHL3" s="994"/>
      <c r="HHM3" s="994"/>
      <c r="HHN3" s="994"/>
      <c r="HHO3" s="994"/>
      <c r="HHP3" s="994"/>
      <c r="HHQ3" s="994"/>
      <c r="HHR3" s="994"/>
      <c r="HHS3" s="994"/>
      <c r="HHT3" s="994"/>
      <c r="HHU3" s="994"/>
      <c r="HHV3" s="994"/>
      <c r="HHW3" s="994"/>
      <c r="HHX3" s="994"/>
      <c r="HHY3" s="994"/>
      <c r="HHZ3" s="994"/>
      <c r="HIA3" s="994"/>
      <c r="HIB3" s="994"/>
      <c r="HIC3" s="994"/>
      <c r="HID3" s="994"/>
      <c r="HIE3" s="994"/>
      <c r="HIF3" s="994"/>
      <c r="HIG3" s="994"/>
      <c r="HIH3" s="994"/>
      <c r="HII3" s="994"/>
      <c r="HIJ3" s="994"/>
      <c r="HIK3" s="994"/>
      <c r="HIL3" s="994"/>
      <c r="HIM3" s="994"/>
      <c r="HIN3" s="994"/>
      <c r="HIO3" s="994"/>
      <c r="HIP3" s="994"/>
      <c r="HIQ3" s="994"/>
      <c r="HIR3" s="994"/>
      <c r="HIS3" s="994"/>
      <c r="HIT3" s="994"/>
      <c r="HIU3" s="994"/>
      <c r="HIV3" s="994"/>
      <c r="HIW3" s="994"/>
      <c r="HIX3" s="994"/>
      <c r="HIY3" s="994"/>
      <c r="HIZ3" s="994"/>
      <c r="HJA3" s="994"/>
      <c r="HJB3" s="994"/>
      <c r="HJC3" s="994"/>
      <c r="HJD3" s="994"/>
      <c r="HJE3" s="994"/>
      <c r="HJF3" s="994"/>
      <c r="HJG3" s="994"/>
      <c r="HJH3" s="994"/>
      <c r="HJI3" s="994"/>
      <c r="HJJ3" s="994"/>
      <c r="HJK3" s="994"/>
      <c r="HJL3" s="994"/>
      <c r="HJM3" s="994"/>
      <c r="HJN3" s="994"/>
      <c r="HJO3" s="994"/>
      <c r="HJP3" s="994"/>
      <c r="HJQ3" s="994"/>
      <c r="HJR3" s="994"/>
      <c r="HJS3" s="994"/>
      <c r="HJT3" s="994"/>
      <c r="HJU3" s="994"/>
      <c r="HJV3" s="994"/>
      <c r="HJW3" s="994"/>
      <c r="HJX3" s="994"/>
      <c r="HJY3" s="994"/>
      <c r="HJZ3" s="994"/>
      <c r="HKA3" s="994"/>
      <c r="HKB3" s="994"/>
      <c r="HKC3" s="994"/>
      <c r="HKD3" s="994"/>
      <c r="HKE3" s="994"/>
      <c r="HKF3" s="994"/>
      <c r="HKG3" s="994"/>
      <c r="HKH3" s="994"/>
      <c r="HKI3" s="994"/>
      <c r="HKJ3" s="994"/>
      <c r="HKK3" s="994"/>
      <c r="HKL3" s="994"/>
      <c r="HKM3" s="994"/>
      <c r="HKN3" s="994"/>
      <c r="HKO3" s="994"/>
      <c r="HKP3" s="994"/>
      <c r="HKQ3" s="994"/>
      <c r="HKR3" s="994"/>
      <c r="HKS3" s="994"/>
      <c r="HKT3" s="994"/>
      <c r="HKU3" s="994"/>
      <c r="HKV3" s="994"/>
      <c r="HKW3" s="994"/>
      <c r="HKX3" s="994"/>
      <c r="HKY3" s="994"/>
      <c r="HKZ3" s="994"/>
      <c r="HLA3" s="994"/>
      <c r="HLB3" s="994"/>
      <c r="HLC3" s="994"/>
      <c r="HLD3" s="994"/>
      <c r="HLE3" s="994"/>
      <c r="HLF3" s="994"/>
      <c r="HLG3" s="994"/>
      <c r="HLH3" s="994"/>
      <c r="HLI3" s="994"/>
      <c r="HLJ3" s="994"/>
      <c r="HLK3" s="994"/>
      <c r="HLL3" s="994"/>
      <c r="HLM3" s="994"/>
      <c r="HLN3" s="994"/>
      <c r="HLO3" s="994"/>
      <c r="HLP3" s="994"/>
      <c r="HLQ3" s="994"/>
      <c r="HLR3" s="994"/>
      <c r="HLS3" s="994"/>
      <c r="HLT3" s="994"/>
      <c r="HLU3" s="994"/>
      <c r="HLV3" s="994"/>
      <c r="HLW3" s="994"/>
      <c r="HLX3" s="994"/>
      <c r="HLY3" s="994"/>
      <c r="HLZ3" s="994"/>
      <c r="HMA3" s="994"/>
      <c r="HMB3" s="994"/>
      <c r="HMC3" s="994"/>
      <c r="HMD3" s="994"/>
      <c r="HME3" s="994"/>
      <c r="HMF3" s="994"/>
      <c r="HMG3" s="994"/>
      <c r="HMH3" s="994"/>
      <c r="HMI3" s="994"/>
      <c r="HMJ3" s="994"/>
      <c r="HMK3" s="994"/>
      <c r="HML3" s="994"/>
      <c r="HMM3" s="994"/>
      <c r="HMN3" s="994"/>
      <c r="HMO3" s="994"/>
      <c r="HMP3" s="994"/>
      <c r="HMQ3" s="994"/>
      <c r="HMR3" s="994"/>
      <c r="HMS3" s="994"/>
      <c r="HMT3" s="994"/>
      <c r="HMU3" s="994"/>
      <c r="HMV3" s="994"/>
      <c r="HMW3" s="994"/>
      <c r="HMX3" s="994"/>
      <c r="HMY3" s="994"/>
      <c r="HMZ3" s="994"/>
      <c r="HNA3" s="994"/>
      <c r="HNB3" s="994"/>
      <c r="HNC3" s="994"/>
      <c r="HND3" s="994"/>
      <c r="HNE3" s="994"/>
      <c r="HNF3" s="994"/>
      <c r="HNG3" s="994"/>
      <c r="HNH3" s="994"/>
      <c r="HNI3" s="994"/>
      <c r="HNJ3" s="994"/>
      <c r="HNK3" s="994"/>
      <c r="HNL3" s="994"/>
      <c r="HNM3" s="994"/>
      <c r="HNN3" s="994"/>
      <c r="HNO3" s="994"/>
      <c r="HNP3" s="994"/>
      <c r="HNQ3" s="994"/>
      <c r="HNR3" s="994"/>
      <c r="HNS3" s="994"/>
      <c r="HNT3" s="994"/>
      <c r="HNU3" s="994"/>
      <c r="HNV3" s="994"/>
      <c r="HNW3" s="994"/>
      <c r="HNX3" s="994"/>
      <c r="HNY3" s="994"/>
      <c r="HNZ3" s="994"/>
      <c r="HOA3" s="994"/>
      <c r="HOB3" s="994"/>
      <c r="HOC3" s="994"/>
      <c r="HOD3" s="994"/>
      <c r="HOE3" s="994"/>
      <c r="HOF3" s="994"/>
      <c r="HOG3" s="994"/>
      <c r="HOH3" s="994"/>
      <c r="HOI3" s="994"/>
      <c r="HOJ3" s="994"/>
      <c r="HOK3" s="994"/>
      <c r="HOL3" s="994"/>
      <c r="HOM3" s="994"/>
      <c r="HON3" s="994"/>
      <c r="HOO3" s="994"/>
      <c r="HOP3" s="994"/>
      <c r="HOQ3" s="994"/>
      <c r="HOR3" s="994"/>
      <c r="HOS3" s="994"/>
      <c r="HOT3" s="994"/>
      <c r="HOU3" s="994"/>
      <c r="HOV3" s="994"/>
      <c r="HOW3" s="994"/>
      <c r="HOX3" s="994"/>
      <c r="HOY3" s="994"/>
      <c r="HOZ3" s="994"/>
      <c r="HPA3" s="994"/>
      <c r="HPB3" s="994"/>
      <c r="HPC3" s="994"/>
      <c r="HPD3" s="994"/>
      <c r="HPE3" s="994"/>
      <c r="HPF3" s="994"/>
      <c r="HPG3" s="994"/>
      <c r="HPH3" s="994"/>
      <c r="HPI3" s="994"/>
      <c r="HPJ3" s="994"/>
      <c r="HPK3" s="994"/>
      <c r="HPL3" s="994"/>
      <c r="HPM3" s="994"/>
      <c r="HPN3" s="994"/>
      <c r="HPO3" s="994"/>
      <c r="HPP3" s="994"/>
      <c r="HPQ3" s="994"/>
      <c r="HPR3" s="994"/>
      <c r="HPS3" s="994"/>
      <c r="HPT3" s="994"/>
      <c r="HPU3" s="994"/>
      <c r="HPV3" s="994"/>
      <c r="HPW3" s="994"/>
      <c r="HPX3" s="994"/>
      <c r="HPY3" s="994"/>
      <c r="HPZ3" s="994"/>
      <c r="HQA3" s="994"/>
      <c r="HQB3" s="994"/>
      <c r="HQC3" s="994"/>
      <c r="HQD3" s="994"/>
      <c r="HQE3" s="994"/>
      <c r="HQF3" s="994"/>
      <c r="HQG3" s="994"/>
      <c r="HQH3" s="994"/>
      <c r="HQI3" s="994"/>
      <c r="HQJ3" s="994"/>
      <c r="HQK3" s="994"/>
      <c r="HQL3" s="994"/>
      <c r="HQM3" s="994"/>
      <c r="HQN3" s="994"/>
      <c r="HQO3" s="994"/>
      <c r="HQP3" s="994"/>
      <c r="HQQ3" s="994"/>
      <c r="HQR3" s="994"/>
      <c r="HQS3" s="994"/>
      <c r="HQT3" s="994"/>
      <c r="HQU3" s="994"/>
      <c r="HQV3" s="994"/>
      <c r="HQW3" s="994"/>
      <c r="HQX3" s="994"/>
      <c r="HQY3" s="994"/>
      <c r="HQZ3" s="994"/>
      <c r="HRA3" s="994"/>
      <c r="HRB3" s="994"/>
      <c r="HRC3" s="994"/>
      <c r="HRD3" s="994"/>
      <c r="HRE3" s="994"/>
      <c r="HRF3" s="994"/>
      <c r="HRG3" s="994"/>
      <c r="HRH3" s="994"/>
      <c r="HRI3" s="994"/>
      <c r="HRJ3" s="994"/>
      <c r="HRK3" s="994"/>
      <c r="HRL3" s="994"/>
      <c r="HRM3" s="994"/>
      <c r="HRN3" s="994"/>
      <c r="HRO3" s="994"/>
      <c r="HRP3" s="994"/>
      <c r="HRQ3" s="994"/>
      <c r="HRR3" s="994"/>
      <c r="HRS3" s="994"/>
      <c r="HRT3" s="994"/>
      <c r="HRU3" s="994"/>
      <c r="HRV3" s="994"/>
      <c r="HRW3" s="994"/>
      <c r="HRX3" s="994"/>
      <c r="HRY3" s="994"/>
      <c r="HRZ3" s="994"/>
      <c r="HSA3" s="994"/>
      <c r="HSB3" s="994"/>
      <c r="HSC3" s="994"/>
      <c r="HSD3" s="994"/>
      <c r="HSE3" s="994"/>
      <c r="HSF3" s="994"/>
      <c r="HSG3" s="994"/>
      <c r="HSH3" s="994"/>
      <c r="HSI3" s="994"/>
      <c r="HSJ3" s="994"/>
      <c r="HSK3" s="994"/>
      <c r="HSL3" s="994"/>
      <c r="HSM3" s="994"/>
      <c r="HSN3" s="994"/>
      <c r="HSO3" s="994"/>
      <c r="HSP3" s="994"/>
      <c r="HSQ3" s="994"/>
      <c r="HSR3" s="994"/>
      <c r="HSS3" s="994"/>
      <c r="HST3" s="994"/>
      <c r="HSU3" s="994"/>
      <c r="HSV3" s="994"/>
      <c r="HSW3" s="994"/>
      <c r="HSX3" s="994"/>
      <c r="HSY3" s="994"/>
      <c r="HSZ3" s="994"/>
      <c r="HTA3" s="994"/>
      <c r="HTB3" s="994"/>
      <c r="HTC3" s="994"/>
      <c r="HTD3" s="994"/>
      <c r="HTE3" s="994"/>
      <c r="HTF3" s="994"/>
      <c r="HTG3" s="994"/>
      <c r="HTH3" s="994"/>
      <c r="HTI3" s="994"/>
      <c r="HTJ3" s="994"/>
      <c r="HTK3" s="994"/>
      <c r="HTL3" s="994"/>
      <c r="HTM3" s="994"/>
      <c r="HTN3" s="994"/>
      <c r="HTO3" s="994"/>
      <c r="HTP3" s="994"/>
      <c r="HTQ3" s="994"/>
      <c r="HTR3" s="994"/>
      <c r="HTS3" s="994"/>
      <c r="HTT3" s="994"/>
      <c r="HTU3" s="994"/>
      <c r="HTV3" s="994"/>
      <c r="HTW3" s="994"/>
      <c r="HTX3" s="994"/>
      <c r="HTY3" s="994"/>
      <c r="HTZ3" s="994"/>
      <c r="HUA3" s="994"/>
      <c r="HUB3" s="994"/>
      <c r="HUC3" s="994"/>
      <c r="HUD3" s="994"/>
      <c r="HUE3" s="994"/>
      <c r="HUF3" s="994"/>
      <c r="HUG3" s="994"/>
      <c r="HUH3" s="994"/>
      <c r="HUI3" s="994"/>
      <c r="HUJ3" s="994"/>
      <c r="HUK3" s="994"/>
      <c r="HUL3" s="994"/>
      <c r="HUM3" s="994"/>
      <c r="HUN3" s="994"/>
      <c r="HUO3" s="994"/>
      <c r="HUP3" s="994"/>
      <c r="HUQ3" s="994"/>
      <c r="HUR3" s="994"/>
      <c r="HUS3" s="994"/>
      <c r="HUT3" s="994"/>
      <c r="HUU3" s="994"/>
      <c r="HUV3" s="994"/>
      <c r="HUW3" s="994"/>
      <c r="HUX3" s="994"/>
      <c r="HUY3" s="994"/>
      <c r="HUZ3" s="994"/>
      <c r="HVA3" s="994"/>
      <c r="HVB3" s="994"/>
      <c r="HVC3" s="994"/>
      <c r="HVD3" s="994"/>
      <c r="HVE3" s="994"/>
      <c r="HVF3" s="994"/>
      <c r="HVG3" s="994"/>
      <c r="HVH3" s="994"/>
      <c r="HVI3" s="994"/>
      <c r="HVJ3" s="994"/>
      <c r="HVK3" s="994"/>
      <c r="HVL3" s="994"/>
      <c r="HVM3" s="994"/>
      <c r="HVN3" s="994"/>
      <c r="HVO3" s="994"/>
      <c r="HVP3" s="994"/>
      <c r="HVQ3" s="994"/>
      <c r="HVR3" s="994"/>
      <c r="HVS3" s="994"/>
      <c r="HVT3" s="994"/>
      <c r="HVU3" s="994"/>
      <c r="HVV3" s="994"/>
      <c r="HVW3" s="994"/>
      <c r="HVX3" s="994"/>
      <c r="HVY3" s="994"/>
      <c r="HVZ3" s="994"/>
      <c r="HWA3" s="994"/>
      <c r="HWB3" s="994"/>
      <c r="HWC3" s="994"/>
      <c r="HWD3" s="994"/>
      <c r="HWE3" s="994"/>
      <c r="HWF3" s="994"/>
      <c r="HWG3" s="994"/>
      <c r="HWH3" s="994"/>
      <c r="HWI3" s="994"/>
      <c r="HWJ3" s="994"/>
      <c r="HWK3" s="994"/>
      <c r="HWL3" s="994"/>
      <c r="HWM3" s="994"/>
      <c r="HWN3" s="994"/>
      <c r="HWO3" s="994"/>
      <c r="HWP3" s="994"/>
      <c r="HWQ3" s="994"/>
      <c r="HWR3" s="994"/>
      <c r="HWS3" s="994"/>
      <c r="HWT3" s="994"/>
      <c r="HWU3" s="994"/>
      <c r="HWV3" s="994"/>
      <c r="HWW3" s="994"/>
      <c r="HWX3" s="994"/>
      <c r="HWY3" s="994"/>
      <c r="HWZ3" s="994"/>
      <c r="HXA3" s="994"/>
      <c r="HXB3" s="994"/>
      <c r="HXC3" s="994"/>
      <c r="HXD3" s="994"/>
      <c r="HXE3" s="994"/>
      <c r="HXF3" s="994"/>
      <c r="HXG3" s="994"/>
      <c r="HXH3" s="994"/>
      <c r="HXI3" s="994"/>
      <c r="HXJ3" s="994"/>
      <c r="HXK3" s="994"/>
      <c r="HXL3" s="994"/>
      <c r="HXM3" s="994"/>
      <c r="HXN3" s="994"/>
      <c r="HXO3" s="994"/>
      <c r="HXP3" s="994"/>
      <c r="HXQ3" s="994"/>
      <c r="HXR3" s="994"/>
      <c r="HXS3" s="994"/>
      <c r="HXT3" s="994"/>
      <c r="HXU3" s="994"/>
      <c r="HXV3" s="994"/>
      <c r="HXW3" s="994"/>
      <c r="HXX3" s="994"/>
      <c r="HXY3" s="994"/>
      <c r="HXZ3" s="994"/>
      <c r="HYA3" s="994"/>
      <c r="HYB3" s="994"/>
      <c r="HYC3" s="994"/>
      <c r="HYD3" s="994"/>
      <c r="HYE3" s="994"/>
      <c r="HYF3" s="994"/>
      <c r="HYG3" s="994"/>
      <c r="HYH3" s="994"/>
      <c r="HYI3" s="994"/>
      <c r="HYJ3" s="994"/>
      <c r="HYK3" s="994"/>
      <c r="HYL3" s="994"/>
      <c r="HYM3" s="994"/>
      <c r="HYN3" s="994"/>
      <c r="HYO3" s="994"/>
      <c r="HYP3" s="994"/>
      <c r="HYQ3" s="994"/>
      <c r="HYR3" s="994"/>
      <c r="HYS3" s="994"/>
      <c r="HYT3" s="994"/>
      <c r="HYU3" s="994"/>
      <c r="HYV3" s="994"/>
      <c r="HYW3" s="994"/>
      <c r="HYX3" s="994"/>
      <c r="HYY3" s="994"/>
      <c r="HYZ3" s="994"/>
      <c r="HZA3" s="994"/>
      <c r="HZB3" s="994"/>
      <c r="HZC3" s="994"/>
      <c r="HZD3" s="994"/>
      <c r="HZE3" s="994"/>
      <c r="HZF3" s="994"/>
      <c r="HZG3" s="994"/>
      <c r="HZH3" s="994"/>
      <c r="HZI3" s="994"/>
      <c r="HZJ3" s="994"/>
      <c r="HZK3" s="994"/>
      <c r="HZL3" s="994"/>
      <c r="HZM3" s="994"/>
      <c r="HZN3" s="994"/>
      <c r="HZO3" s="994"/>
      <c r="HZP3" s="994"/>
      <c r="HZQ3" s="994"/>
      <c r="HZR3" s="994"/>
      <c r="HZS3" s="994"/>
      <c r="HZT3" s="994"/>
      <c r="HZU3" s="994"/>
      <c r="HZV3" s="994"/>
      <c r="HZW3" s="994"/>
      <c r="HZX3" s="994"/>
      <c r="HZY3" s="994"/>
      <c r="HZZ3" s="994"/>
      <c r="IAA3" s="994"/>
      <c r="IAB3" s="994"/>
      <c r="IAC3" s="994"/>
      <c r="IAD3" s="994"/>
      <c r="IAE3" s="994"/>
      <c r="IAF3" s="994"/>
      <c r="IAG3" s="994"/>
      <c r="IAH3" s="994"/>
      <c r="IAI3" s="994"/>
      <c r="IAJ3" s="994"/>
      <c r="IAK3" s="994"/>
      <c r="IAL3" s="994"/>
      <c r="IAM3" s="994"/>
      <c r="IAN3" s="994"/>
      <c r="IAO3" s="994"/>
      <c r="IAP3" s="994"/>
      <c r="IAQ3" s="994"/>
      <c r="IAR3" s="994"/>
      <c r="IAS3" s="994"/>
      <c r="IAT3" s="994"/>
      <c r="IAU3" s="994"/>
      <c r="IAV3" s="994"/>
      <c r="IAW3" s="994"/>
      <c r="IAX3" s="994"/>
      <c r="IAY3" s="994"/>
      <c r="IAZ3" s="994"/>
      <c r="IBA3" s="994"/>
      <c r="IBB3" s="994"/>
      <c r="IBC3" s="994"/>
      <c r="IBD3" s="994"/>
      <c r="IBE3" s="994"/>
      <c r="IBF3" s="994"/>
      <c r="IBG3" s="994"/>
      <c r="IBH3" s="994"/>
      <c r="IBI3" s="994"/>
      <c r="IBJ3" s="994"/>
      <c r="IBK3" s="994"/>
      <c r="IBL3" s="994"/>
      <c r="IBM3" s="994"/>
      <c r="IBN3" s="994"/>
      <c r="IBO3" s="994"/>
      <c r="IBP3" s="994"/>
      <c r="IBQ3" s="994"/>
      <c r="IBR3" s="994"/>
      <c r="IBS3" s="994"/>
      <c r="IBT3" s="994"/>
      <c r="IBU3" s="994"/>
      <c r="IBV3" s="994"/>
      <c r="IBW3" s="994"/>
      <c r="IBX3" s="994"/>
      <c r="IBY3" s="994"/>
      <c r="IBZ3" s="994"/>
      <c r="ICA3" s="994"/>
      <c r="ICB3" s="994"/>
      <c r="ICC3" s="994"/>
      <c r="ICD3" s="994"/>
      <c r="ICE3" s="994"/>
      <c r="ICF3" s="994"/>
      <c r="ICG3" s="994"/>
      <c r="ICH3" s="994"/>
      <c r="ICI3" s="994"/>
      <c r="ICJ3" s="994"/>
      <c r="ICK3" s="994"/>
      <c r="ICL3" s="994"/>
      <c r="ICM3" s="994"/>
      <c r="ICN3" s="994"/>
      <c r="ICO3" s="994"/>
      <c r="ICP3" s="994"/>
      <c r="ICQ3" s="994"/>
      <c r="ICR3" s="994"/>
      <c r="ICS3" s="994"/>
      <c r="ICT3" s="994"/>
      <c r="ICU3" s="994"/>
      <c r="ICV3" s="994"/>
      <c r="ICW3" s="994"/>
      <c r="ICX3" s="994"/>
      <c r="ICY3" s="994"/>
      <c r="ICZ3" s="994"/>
      <c r="IDA3" s="994"/>
      <c r="IDB3" s="994"/>
      <c r="IDC3" s="994"/>
      <c r="IDD3" s="994"/>
      <c r="IDE3" s="994"/>
      <c r="IDF3" s="994"/>
      <c r="IDG3" s="994"/>
      <c r="IDH3" s="994"/>
      <c r="IDI3" s="994"/>
      <c r="IDJ3" s="994"/>
      <c r="IDK3" s="994"/>
      <c r="IDL3" s="994"/>
      <c r="IDM3" s="994"/>
      <c r="IDN3" s="994"/>
      <c r="IDO3" s="994"/>
      <c r="IDP3" s="994"/>
      <c r="IDQ3" s="994"/>
      <c r="IDR3" s="994"/>
      <c r="IDS3" s="994"/>
      <c r="IDT3" s="994"/>
      <c r="IDU3" s="994"/>
      <c r="IDV3" s="994"/>
      <c r="IDW3" s="994"/>
      <c r="IDX3" s="994"/>
      <c r="IDY3" s="994"/>
      <c r="IDZ3" s="994"/>
      <c r="IEA3" s="994"/>
      <c r="IEB3" s="994"/>
      <c r="IEC3" s="994"/>
      <c r="IED3" s="994"/>
      <c r="IEE3" s="994"/>
      <c r="IEF3" s="994"/>
      <c r="IEG3" s="994"/>
      <c r="IEH3" s="994"/>
      <c r="IEI3" s="994"/>
      <c r="IEJ3" s="994"/>
      <c r="IEK3" s="994"/>
      <c r="IEL3" s="994"/>
      <c r="IEM3" s="994"/>
      <c r="IEN3" s="994"/>
      <c r="IEO3" s="994"/>
      <c r="IEP3" s="994"/>
      <c r="IEQ3" s="994"/>
      <c r="IER3" s="994"/>
      <c r="IES3" s="994"/>
      <c r="IET3" s="994"/>
      <c r="IEU3" s="994"/>
      <c r="IEV3" s="994"/>
      <c r="IEW3" s="994"/>
      <c r="IEX3" s="994"/>
      <c r="IEY3" s="994"/>
      <c r="IEZ3" s="994"/>
      <c r="IFA3" s="994"/>
      <c r="IFB3" s="994"/>
      <c r="IFC3" s="994"/>
      <c r="IFD3" s="994"/>
      <c r="IFE3" s="994"/>
      <c r="IFF3" s="994"/>
      <c r="IFG3" s="994"/>
      <c r="IFH3" s="994"/>
      <c r="IFI3" s="994"/>
      <c r="IFJ3" s="994"/>
      <c r="IFK3" s="994"/>
      <c r="IFL3" s="994"/>
      <c r="IFM3" s="994"/>
      <c r="IFN3" s="994"/>
      <c r="IFO3" s="994"/>
      <c r="IFP3" s="994"/>
      <c r="IFQ3" s="994"/>
      <c r="IFR3" s="994"/>
      <c r="IFS3" s="994"/>
      <c r="IFT3" s="994"/>
      <c r="IFU3" s="994"/>
      <c r="IFV3" s="994"/>
      <c r="IFW3" s="994"/>
      <c r="IFX3" s="994"/>
      <c r="IFY3" s="994"/>
      <c r="IFZ3" s="994"/>
      <c r="IGA3" s="994"/>
      <c r="IGB3" s="994"/>
      <c r="IGC3" s="994"/>
      <c r="IGD3" s="994"/>
      <c r="IGE3" s="994"/>
      <c r="IGF3" s="994"/>
      <c r="IGG3" s="994"/>
      <c r="IGH3" s="994"/>
      <c r="IGI3" s="994"/>
      <c r="IGJ3" s="994"/>
      <c r="IGK3" s="994"/>
      <c r="IGL3" s="994"/>
      <c r="IGM3" s="994"/>
      <c r="IGN3" s="994"/>
      <c r="IGO3" s="994"/>
      <c r="IGP3" s="994"/>
      <c r="IGQ3" s="994"/>
      <c r="IGR3" s="994"/>
      <c r="IGS3" s="994"/>
      <c r="IGT3" s="994"/>
      <c r="IGU3" s="994"/>
      <c r="IGV3" s="994"/>
      <c r="IGW3" s="994"/>
      <c r="IGX3" s="994"/>
      <c r="IGY3" s="994"/>
      <c r="IGZ3" s="994"/>
      <c r="IHA3" s="994"/>
      <c r="IHB3" s="994"/>
      <c r="IHC3" s="994"/>
      <c r="IHD3" s="994"/>
      <c r="IHE3" s="994"/>
      <c r="IHF3" s="994"/>
      <c r="IHG3" s="994"/>
      <c r="IHH3" s="994"/>
      <c r="IHI3" s="994"/>
      <c r="IHJ3" s="994"/>
      <c r="IHK3" s="994"/>
      <c r="IHL3" s="994"/>
      <c r="IHM3" s="994"/>
      <c r="IHN3" s="994"/>
      <c r="IHO3" s="994"/>
      <c r="IHP3" s="994"/>
      <c r="IHQ3" s="994"/>
      <c r="IHR3" s="994"/>
      <c r="IHS3" s="994"/>
      <c r="IHT3" s="994"/>
      <c r="IHU3" s="994"/>
      <c r="IHV3" s="994"/>
      <c r="IHW3" s="994"/>
      <c r="IHX3" s="994"/>
      <c r="IHY3" s="994"/>
      <c r="IHZ3" s="994"/>
      <c r="IIA3" s="994"/>
      <c r="IIB3" s="994"/>
      <c r="IIC3" s="994"/>
      <c r="IID3" s="994"/>
      <c r="IIE3" s="994"/>
      <c r="IIF3" s="994"/>
      <c r="IIG3" s="994"/>
      <c r="IIH3" s="994"/>
      <c r="III3" s="994"/>
      <c r="IIJ3" s="994"/>
      <c r="IIK3" s="994"/>
      <c r="IIL3" s="994"/>
      <c r="IIM3" s="994"/>
      <c r="IIN3" s="994"/>
      <c r="IIO3" s="994"/>
      <c r="IIP3" s="994"/>
      <c r="IIQ3" s="994"/>
      <c r="IIR3" s="994"/>
      <c r="IIS3" s="994"/>
      <c r="IIT3" s="994"/>
      <c r="IIU3" s="994"/>
      <c r="IIV3" s="994"/>
      <c r="IIW3" s="994"/>
      <c r="IIX3" s="994"/>
      <c r="IIY3" s="994"/>
      <c r="IIZ3" s="994"/>
      <c r="IJA3" s="994"/>
      <c r="IJB3" s="994"/>
      <c r="IJC3" s="994"/>
      <c r="IJD3" s="994"/>
      <c r="IJE3" s="994"/>
      <c r="IJF3" s="994"/>
      <c r="IJG3" s="994"/>
      <c r="IJH3" s="994"/>
      <c r="IJI3" s="994"/>
      <c r="IJJ3" s="994"/>
      <c r="IJK3" s="994"/>
      <c r="IJL3" s="994"/>
      <c r="IJM3" s="994"/>
      <c r="IJN3" s="994"/>
      <c r="IJO3" s="994"/>
      <c r="IJP3" s="994"/>
      <c r="IJQ3" s="994"/>
      <c r="IJR3" s="994"/>
      <c r="IJS3" s="994"/>
      <c r="IJT3" s="994"/>
      <c r="IJU3" s="994"/>
      <c r="IJV3" s="994"/>
      <c r="IJW3" s="994"/>
      <c r="IJX3" s="994"/>
      <c r="IJY3" s="994"/>
      <c r="IJZ3" s="994"/>
      <c r="IKA3" s="994"/>
      <c r="IKB3" s="994"/>
      <c r="IKC3" s="994"/>
      <c r="IKD3" s="994"/>
      <c r="IKE3" s="994"/>
      <c r="IKF3" s="994"/>
      <c r="IKG3" s="994"/>
      <c r="IKH3" s="994"/>
      <c r="IKI3" s="994"/>
      <c r="IKJ3" s="994"/>
      <c r="IKK3" s="994"/>
      <c r="IKL3" s="994"/>
      <c r="IKM3" s="994"/>
      <c r="IKN3" s="994"/>
      <c r="IKO3" s="994"/>
      <c r="IKP3" s="994"/>
      <c r="IKQ3" s="994"/>
      <c r="IKR3" s="994"/>
      <c r="IKS3" s="994"/>
      <c r="IKT3" s="994"/>
      <c r="IKU3" s="994"/>
      <c r="IKV3" s="994"/>
      <c r="IKW3" s="994"/>
      <c r="IKX3" s="994"/>
      <c r="IKY3" s="994"/>
      <c r="IKZ3" s="994"/>
      <c r="ILA3" s="994"/>
      <c r="ILB3" s="994"/>
      <c r="ILC3" s="994"/>
      <c r="ILD3" s="994"/>
      <c r="ILE3" s="994"/>
      <c r="ILF3" s="994"/>
      <c r="ILG3" s="994"/>
      <c r="ILH3" s="994"/>
      <c r="ILI3" s="994"/>
      <c r="ILJ3" s="994"/>
      <c r="ILK3" s="994"/>
      <c r="ILL3" s="994"/>
      <c r="ILM3" s="994"/>
      <c r="ILN3" s="994"/>
      <c r="ILO3" s="994"/>
      <c r="ILP3" s="994"/>
      <c r="ILQ3" s="994"/>
      <c r="ILR3" s="994"/>
      <c r="ILS3" s="994"/>
      <c r="ILT3" s="994"/>
      <c r="ILU3" s="994"/>
      <c r="ILV3" s="994"/>
      <c r="ILW3" s="994"/>
      <c r="ILX3" s="994"/>
      <c r="ILY3" s="994"/>
      <c r="ILZ3" s="994"/>
      <c r="IMA3" s="994"/>
      <c r="IMB3" s="994"/>
      <c r="IMC3" s="994"/>
      <c r="IMD3" s="994"/>
      <c r="IME3" s="994"/>
      <c r="IMF3" s="994"/>
      <c r="IMG3" s="994"/>
      <c r="IMH3" s="994"/>
      <c r="IMI3" s="994"/>
      <c r="IMJ3" s="994"/>
      <c r="IMK3" s="994"/>
      <c r="IML3" s="994"/>
      <c r="IMM3" s="994"/>
      <c r="IMN3" s="994"/>
      <c r="IMO3" s="994"/>
      <c r="IMP3" s="994"/>
      <c r="IMQ3" s="994"/>
      <c r="IMR3" s="994"/>
      <c r="IMS3" s="994"/>
      <c r="IMT3" s="994"/>
      <c r="IMU3" s="994"/>
      <c r="IMV3" s="994"/>
      <c r="IMW3" s="994"/>
      <c r="IMX3" s="994"/>
      <c r="IMY3" s="994"/>
      <c r="IMZ3" s="994"/>
      <c r="INA3" s="994"/>
      <c r="INB3" s="994"/>
      <c r="INC3" s="994"/>
      <c r="IND3" s="994"/>
      <c r="INE3" s="994"/>
      <c r="INF3" s="994"/>
      <c r="ING3" s="994"/>
      <c r="INH3" s="994"/>
      <c r="INI3" s="994"/>
      <c r="INJ3" s="994"/>
      <c r="INK3" s="994"/>
      <c r="INL3" s="994"/>
      <c r="INM3" s="994"/>
      <c r="INN3" s="994"/>
      <c r="INO3" s="994"/>
      <c r="INP3" s="994"/>
      <c r="INQ3" s="994"/>
      <c r="INR3" s="994"/>
      <c r="INS3" s="994"/>
      <c r="INT3" s="994"/>
      <c r="INU3" s="994"/>
      <c r="INV3" s="994"/>
      <c r="INW3" s="994"/>
      <c r="INX3" s="994"/>
      <c r="INY3" s="994"/>
      <c r="INZ3" s="994"/>
      <c r="IOA3" s="994"/>
      <c r="IOB3" s="994"/>
      <c r="IOC3" s="994"/>
      <c r="IOD3" s="994"/>
      <c r="IOE3" s="994"/>
      <c r="IOF3" s="994"/>
      <c r="IOG3" s="994"/>
      <c r="IOH3" s="994"/>
      <c r="IOI3" s="994"/>
      <c r="IOJ3" s="994"/>
      <c r="IOK3" s="994"/>
      <c r="IOL3" s="994"/>
      <c r="IOM3" s="994"/>
      <c r="ION3" s="994"/>
      <c r="IOO3" s="994"/>
      <c r="IOP3" s="994"/>
      <c r="IOQ3" s="994"/>
      <c r="IOR3" s="994"/>
      <c r="IOS3" s="994"/>
      <c r="IOT3" s="994"/>
      <c r="IOU3" s="994"/>
      <c r="IOV3" s="994"/>
      <c r="IOW3" s="994"/>
      <c r="IOX3" s="994"/>
      <c r="IOY3" s="994"/>
      <c r="IOZ3" s="994"/>
      <c r="IPA3" s="994"/>
      <c r="IPB3" s="994"/>
      <c r="IPC3" s="994"/>
      <c r="IPD3" s="994"/>
      <c r="IPE3" s="994"/>
      <c r="IPF3" s="994"/>
      <c r="IPG3" s="994"/>
      <c r="IPH3" s="994"/>
      <c r="IPI3" s="994"/>
      <c r="IPJ3" s="994"/>
      <c r="IPK3" s="994"/>
      <c r="IPL3" s="994"/>
      <c r="IPM3" s="994"/>
      <c r="IPN3" s="994"/>
      <c r="IPO3" s="994"/>
      <c r="IPP3" s="994"/>
      <c r="IPQ3" s="994"/>
      <c r="IPR3" s="994"/>
      <c r="IPS3" s="994"/>
      <c r="IPT3" s="994"/>
      <c r="IPU3" s="994"/>
      <c r="IPV3" s="994"/>
      <c r="IPW3" s="994"/>
      <c r="IPX3" s="994"/>
      <c r="IPY3" s="994"/>
      <c r="IPZ3" s="994"/>
      <c r="IQA3" s="994"/>
      <c r="IQB3" s="994"/>
      <c r="IQC3" s="994"/>
      <c r="IQD3" s="994"/>
      <c r="IQE3" s="994"/>
      <c r="IQF3" s="994"/>
      <c r="IQG3" s="994"/>
      <c r="IQH3" s="994"/>
      <c r="IQI3" s="994"/>
      <c r="IQJ3" s="994"/>
      <c r="IQK3" s="994"/>
      <c r="IQL3" s="994"/>
      <c r="IQM3" s="994"/>
      <c r="IQN3" s="994"/>
      <c r="IQO3" s="994"/>
      <c r="IQP3" s="994"/>
      <c r="IQQ3" s="994"/>
      <c r="IQR3" s="994"/>
      <c r="IQS3" s="994"/>
      <c r="IQT3" s="994"/>
      <c r="IQU3" s="994"/>
      <c r="IQV3" s="994"/>
      <c r="IQW3" s="994"/>
      <c r="IQX3" s="994"/>
      <c r="IQY3" s="994"/>
      <c r="IQZ3" s="994"/>
      <c r="IRA3" s="994"/>
      <c r="IRB3" s="994"/>
      <c r="IRC3" s="994"/>
      <c r="IRD3" s="994"/>
      <c r="IRE3" s="994"/>
      <c r="IRF3" s="994"/>
      <c r="IRG3" s="994"/>
      <c r="IRH3" s="994"/>
      <c r="IRI3" s="994"/>
      <c r="IRJ3" s="994"/>
      <c r="IRK3" s="994"/>
      <c r="IRL3" s="994"/>
      <c r="IRM3" s="994"/>
      <c r="IRN3" s="994"/>
      <c r="IRO3" s="994"/>
      <c r="IRP3" s="994"/>
      <c r="IRQ3" s="994"/>
      <c r="IRR3" s="994"/>
      <c r="IRS3" s="994"/>
      <c r="IRT3" s="994"/>
      <c r="IRU3" s="994"/>
      <c r="IRV3" s="994"/>
      <c r="IRW3" s="994"/>
      <c r="IRX3" s="994"/>
      <c r="IRY3" s="994"/>
      <c r="IRZ3" s="994"/>
      <c r="ISA3" s="994"/>
      <c r="ISB3" s="994"/>
      <c r="ISC3" s="994"/>
      <c r="ISD3" s="994"/>
      <c r="ISE3" s="994"/>
      <c r="ISF3" s="994"/>
      <c r="ISG3" s="994"/>
      <c r="ISH3" s="994"/>
      <c r="ISI3" s="994"/>
      <c r="ISJ3" s="994"/>
      <c r="ISK3" s="994"/>
      <c r="ISL3" s="994"/>
      <c r="ISM3" s="994"/>
      <c r="ISN3" s="994"/>
      <c r="ISO3" s="994"/>
      <c r="ISP3" s="994"/>
      <c r="ISQ3" s="994"/>
      <c r="ISR3" s="994"/>
      <c r="ISS3" s="994"/>
      <c r="IST3" s="994"/>
      <c r="ISU3" s="994"/>
      <c r="ISV3" s="994"/>
      <c r="ISW3" s="994"/>
      <c r="ISX3" s="994"/>
      <c r="ISY3" s="994"/>
      <c r="ISZ3" s="994"/>
      <c r="ITA3" s="994"/>
      <c r="ITB3" s="994"/>
      <c r="ITC3" s="994"/>
      <c r="ITD3" s="994"/>
      <c r="ITE3" s="994"/>
      <c r="ITF3" s="994"/>
      <c r="ITG3" s="994"/>
      <c r="ITH3" s="994"/>
      <c r="ITI3" s="994"/>
      <c r="ITJ3" s="994"/>
      <c r="ITK3" s="994"/>
      <c r="ITL3" s="994"/>
      <c r="ITM3" s="994"/>
      <c r="ITN3" s="994"/>
      <c r="ITO3" s="994"/>
      <c r="ITP3" s="994"/>
      <c r="ITQ3" s="994"/>
      <c r="ITR3" s="994"/>
      <c r="ITS3" s="994"/>
      <c r="ITT3" s="994"/>
      <c r="ITU3" s="994"/>
      <c r="ITV3" s="994"/>
      <c r="ITW3" s="994"/>
      <c r="ITX3" s="994"/>
      <c r="ITY3" s="994"/>
      <c r="ITZ3" s="994"/>
      <c r="IUA3" s="994"/>
      <c r="IUB3" s="994"/>
      <c r="IUC3" s="994"/>
      <c r="IUD3" s="994"/>
      <c r="IUE3" s="994"/>
      <c r="IUF3" s="994"/>
      <c r="IUG3" s="994"/>
      <c r="IUH3" s="994"/>
      <c r="IUI3" s="994"/>
      <c r="IUJ3" s="994"/>
      <c r="IUK3" s="994"/>
      <c r="IUL3" s="994"/>
      <c r="IUM3" s="994"/>
      <c r="IUN3" s="994"/>
      <c r="IUO3" s="994"/>
      <c r="IUP3" s="994"/>
      <c r="IUQ3" s="994"/>
      <c r="IUR3" s="994"/>
      <c r="IUS3" s="994"/>
      <c r="IUT3" s="994"/>
      <c r="IUU3" s="994"/>
      <c r="IUV3" s="994"/>
      <c r="IUW3" s="994"/>
      <c r="IUX3" s="994"/>
      <c r="IUY3" s="994"/>
      <c r="IUZ3" s="994"/>
      <c r="IVA3" s="994"/>
      <c r="IVB3" s="994"/>
      <c r="IVC3" s="994"/>
      <c r="IVD3" s="994"/>
      <c r="IVE3" s="994"/>
      <c r="IVF3" s="994"/>
      <c r="IVG3" s="994"/>
      <c r="IVH3" s="994"/>
      <c r="IVI3" s="994"/>
      <c r="IVJ3" s="994"/>
      <c r="IVK3" s="994"/>
      <c r="IVL3" s="994"/>
      <c r="IVM3" s="994"/>
      <c r="IVN3" s="994"/>
      <c r="IVO3" s="994"/>
      <c r="IVP3" s="994"/>
      <c r="IVQ3" s="994"/>
      <c r="IVR3" s="994"/>
      <c r="IVS3" s="994"/>
      <c r="IVT3" s="994"/>
      <c r="IVU3" s="994"/>
      <c r="IVV3" s="994"/>
      <c r="IVW3" s="994"/>
      <c r="IVX3" s="994"/>
      <c r="IVY3" s="994"/>
      <c r="IVZ3" s="994"/>
      <c r="IWA3" s="994"/>
      <c r="IWB3" s="994"/>
      <c r="IWC3" s="994"/>
      <c r="IWD3" s="994"/>
      <c r="IWE3" s="994"/>
      <c r="IWF3" s="994"/>
      <c r="IWG3" s="994"/>
      <c r="IWH3" s="994"/>
      <c r="IWI3" s="994"/>
      <c r="IWJ3" s="994"/>
      <c r="IWK3" s="994"/>
      <c r="IWL3" s="994"/>
      <c r="IWM3" s="994"/>
      <c r="IWN3" s="994"/>
      <c r="IWO3" s="994"/>
      <c r="IWP3" s="994"/>
      <c r="IWQ3" s="994"/>
      <c r="IWR3" s="994"/>
      <c r="IWS3" s="994"/>
      <c r="IWT3" s="994"/>
      <c r="IWU3" s="994"/>
      <c r="IWV3" s="994"/>
      <c r="IWW3" s="994"/>
      <c r="IWX3" s="994"/>
      <c r="IWY3" s="994"/>
      <c r="IWZ3" s="994"/>
      <c r="IXA3" s="994"/>
      <c r="IXB3" s="994"/>
      <c r="IXC3" s="994"/>
      <c r="IXD3" s="994"/>
      <c r="IXE3" s="994"/>
      <c r="IXF3" s="994"/>
      <c r="IXG3" s="994"/>
      <c r="IXH3" s="994"/>
      <c r="IXI3" s="994"/>
      <c r="IXJ3" s="994"/>
      <c r="IXK3" s="994"/>
      <c r="IXL3" s="994"/>
      <c r="IXM3" s="994"/>
      <c r="IXN3" s="994"/>
      <c r="IXO3" s="994"/>
      <c r="IXP3" s="994"/>
      <c r="IXQ3" s="994"/>
      <c r="IXR3" s="994"/>
      <c r="IXS3" s="994"/>
      <c r="IXT3" s="994"/>
      <c r="IXU3" s="994"/>
      <c r="IXV3" s="994"/>
      <c r="IXW3" s="994"/>
      <c r="IXX3" s="994"/>
      <c r="IXY3" s="994"/>
      <c r="IXZ3" s="994"/>
      <c r="IYA3" s="994"/>
      <c r="IYB3" s="994"/>
      <c r="IYC3" s="994"/>
      <c r="IYD3" s="994"/>
      <c r="IYE3" s="994"/>
      <c r="IYF3" s="994"/>
      <c r="IYG3" s="994"/>
      <c r="IYH3" s="994"/>
      <c r="IYI3" s="994"/>
      <c r="IYJ3" s="994"/>
      <c r="IYK3" s="994"/>
      <c r="IYL3" s="994"/>
      <c r="IYM3" s="994"/>
      <c r="IYN3" s="994"/>
      <c r="IYO3" s="994"/>
      <c r="IYP3" s="994"/>
      <c r="IYQ3" s="994"/>
      <c r="IYR3" s="994"/>
      <c r="IYS3" s="994"/>
      <c r="IYT3" s="994"/>
      <c r="IYU3" s="994"/>
      <c r="IYV3" s="994"/>
      <c r="IYW3" s="994"/>
      <c r="IYX3" s="994"/>
      <c r="IYY3" s="994"/>
      <c r="IYZ3" s="994"/>
      <c r="IZA3" s="994"/>
      <c r="IZB3" s="994"/>
      <c r="IZC3" s="994"/>
      <c r="IZD3" s="994"/>
      <c r="IZE3" s="994"/>
      <c r="IZF3" s="994"/>
      <c r="IZG3" s="994"/>
      <c r="IZH3" s="994"/>
      <c r="IZI3" s="994"/>
      <c r="IZJ3" s="994"/>
      <c r="IZK3" s="994"/>
      <c r="IZL3" s="994"/>
      <c r="IZM3" s="994"/>
      <c r="IZN3" s="994"/>
      <c r="IZO3" s="994"/>
      <c r="IZP3" s="994"/>
      <c r="IZQ3" s="994"/>
      <c r="IZR3" s="994"/>
      <c r="IZS3" s="994"/>
      <c r="IZT3" s="994"/>
      <c r="IZU3" s="994"/>
      <c r="IZV3" s="994"/>
      <c r="IZW3" s="994"/>
      <c r="IZX3" s="994"/>
      <c r="IZY3" s="994"/>
      <c r="IZZ3" s="994"/>
      <c r="JAA3" s="994"/>
      <c r="JAB3" s="994"/>
      <c r="JAC3" s="994"/>
      <c r="JAD3" s="994"/>
      <c r="JAE3" s="994"/>
      <c r="JAF3" s="994"/>
      <c r="JAG3" s="994"/>
      <c r="JAH3" s="994"/>
      <c r="JAI3" s="994"/>
      <c r="JAJ3" s="994"/>
      <c r="JAK3" s="994"/>
      <c r="JAL3" s="994"/>
      <c r="JAM3" s="994"/>
      <c r="JAN3" s="994"/>
      <c r="JAO3" s="994"/>
      <c r="JAP3" s="994"/>
      <c r="JAQ3" s="994"/>
      <c r="JAR3" s="994"/>
      <c r="JAS3" s="994"/>
      <c r="JAT3" s="994"/>
      <c r="JAU3" s="994"/>
      <c r="JAV3" s="994"/>
      <c r="JAW3" s="994"/>
      <c r="JAX3" s="994"/>
      <c r="JAY3" s="994"/>
      <c r="JAZ3" s="994"/>
      <c r="JBA3" s="994"/>
      <c r="JBB3" s="994"/>
      <c r="JBC3" s="994"/>
      <c r="JBD3" s="994"/>
      <c r="JBE3" s="994"/>
      <c r="JBF3" s="994"/>
      <c r="JBG3" s="994"/>
      <c r="JBH3" s="994"/>
      <c r="JBI3" s="994"/>
      <c r="JBJ3" s="994"/>
      <c r="JBK3" s="994"/>
      <c r="JBL3" s="994"/>
      <c r="JBM3" s="994"/>
      <c r="JBN3" s="994"/>
      <c r="JBO3" s="994"/>
      <c r="JBP3" s="994"/>
      <c r="JBQ3" s="994"/>
      <c r="JBR3" s="994"/>
      <c r="JBS3" s="994"/>
      <c r="JBT3" s="994"/>
      <c r="JBU3" s="994"/>
      <c r="JBV3" s="994"/>
      <c r="JBW3" s="994"/>
      <c r="JBX3" s="994"/>
      <c r="JBY3" s="994"/>
      <c r="JBZ3" s="994"/>
      <c r="JCA3" s="994"/>
      <c r="JCB3" s="994"/>
      <c r="JCC3" s="994"/>
      <c r="JCD3" s="994"/>
      <c r="JCE3" s="994"/>
      <c r="JCF3" s="994"/>
      <c r="JCG3" s="994"/>
      <c r="JCH3" s="994"/>
      <c r="JCI3" s="994"/>
      <c r="JCJ3" s="994"/>
      <c r="JCK3" s="994"/>
      <c r="JCL3" s="994"/>
      <c r="JCM3" s="994"/>
      <c r="JCN3" s="994"/>
      <c r="JCO3" s="994"/>
      <c r="JCP3" s="994"/>
      <c r="JCQ3" s="994"/>
      <c r="JCR3" s="994"/>
      <c r="JCS3" s="994"/>
      <c r="JCT3" s="994"/>
      <c r="JCU3" s="994"/>
      <c r="JCV3" s="994"/>
      <c r="JCW3" s="994"/>
      <c r="JCX3" s="994"/>
      <c r="JCY3" s="994"/>
      <c r="JCZ3" s="994"/>
      <c r="JDA3" s="994"/>
      <c r="JDB3" s="994"/>
      <c r="JDC3" s="994"/>
      <c r="JDD3" s="994"/>
      <c r="JDE3" s="994"/>
      <c r="JDF3" s="994"/>
      <c r="JDG3" s="994"/>
      <c r="JDH3" s="994"/>
      <c r="JDI3" s="994"/>
      <c r="JDJ3" s="994"/>
      <c r="JDK3" s="994"/>
      <c r="JDL3" s="994"/>
      <c r="JDM3" s="994"/>
      <c r="JDN3" s="994"/>
      <c r="JDO3" s="994"/>
      <c r="JDP3" s="994"/>
      <c r="JDQ3" s="994"/>
      <c r="JDR3" s="994"/>
      <c r="JDS3" s="994"/>
      <c r="JDT3" s="994"/>
      <c r="JDU3" s="994"/>
      <c r="JDV3" s="994"/>
      <c r="JDW3" s="994"/>
      <c r="JDX3" s="994"/>
      <c r="JDY3" s="994"/>
      <c r="JDZ3" s="994"/>
      <c r="JEA3" s="994"/>
      <c r="JEB3" s="994"/>
      <c r="JEC3" s="994"/>
      <c r="JED3" s="994"/>
      <c r="JEE3" s="994"/>
      <c r="JEF3" s="994"/>
      <c r="JEG3" s="994"/>
      <c r="JEH3" s="994"/>
      <c r="JEI3" s="994"/>
      <c r="JEJ3" s="994"/>
      <c r="JEK3" s="994"/>
      <c r="JEL3" s="994"/>
      <c r="JEM3" s="994"/>
      <c r="JEN3" s="994"/>
      <c r="JEO3" s="994"/>
      <c r="JEP3" s="994"/>
      <c r="JEQ3" s="994"/>
      <c r="JER3" s="994"/>
      <c r="JES3" s="994"/>
      <c r="JET3" s="994"/>
      <c r="JEU3" s="994"/>
      <c r="JEV3" s="994"/>
      <c r="JEW3" s="994"/>
      <c r="JEX3" s="994"/>
      <c r="JEY3" s="994"/>
      <c r="JEZ3" s="994"/>
      <c r="JFA3" s="994"/>
      <c r="JFB3" s="994"/>
      <c r="JFC3" s="994"/>
      <c r="JFD3" s="994"/>
      <c r="JFE3" s="994"/>
      <c r="JFF3" s="994"/>
      <c r="JFG3" s="994"/>
      <c r="JFH3" s="994"/>
      <c r="JFI3" s="994"/>
      <c r="JFJ3" s="994"/>
      <c r="JFK3" s="994"/>
      <c r="JFL3" s="994"/>
      <c r="JFM3" s="994"/>
      <c r="JFN3" s="994"/>
      <c r="JFO3" s="994"/>
      <c r="JFP3" s="994"/>
      <c r="JFQ3" s="994"/>
      <c r="JFR3" s="994"/>
      <c r="JFS3" s="994"/>
      <c r="JFT3" s="994"/>
      <c r="JFU3" s="994"/>
      <c r="JFV3" s="994"/>
      <c r="JFW3" s="994"/>
      <c r="JFX3" s="994"/>
      <c r="JFY3" s="994"/>
      <c r="JFZ3" s="994"/>
      <c r="JGA3" s="994"/>
      <c r="JGB3" s="994"/>
      <c r="JGC3" s="994"/>
      <c r="JGD3" s="994"/>
      <c r="JGE3" s="994"/>
      <c r="JGF3" s="994"/>
      <c r="JGG3" s="994"/>
      <c r="JGH3" s="994"/>
      <c r="JGI3" s="994"/>
      <c r="JGJ3" s="994"/>
      <c r="JGK3" s="994"/>
      <c r="JGL3" s="994"/>
      <c r="JGM3" s="994"/>
      <c r="JGN3" s="994"/>
      <c r="JGO3" s="994"/>
      <c r="JGP3" s="994"/>
      <c r="JGQ3" s="994"/>
      <c r="JGR3" s="994"/>
      <c r="JGS3" s="994"/>
      <c r="JGT3" s="994"/>
      <c r="JGU3" s="994"/>
      <c r="JGV3" s="994"/>
      <c r="JGW3" s="994"/>
      <c r="JGX3" s="994"/>
      <c r="JGY3" s="994"/>
      <c r="JGZ3" s="994"/>
      <c r="JHA3" s="994"/>
      <c r="JHB3" s="994"/>
      <c r="JHC3" s="994"/>
      <c r="JHD3" s="994"/>
      <c r="JHE3" s="994"/>
      <c r="JHF3" s="994"/>
      <c r="JHG3" s="994"/>
      <c r="JHH3" s="994"/>
      <c r="JHI3" s="994"/>
      <c r="JHJ3" s="994"/>
      <c r="JHK3" s="994"/>
      <c r="JHL3" s="994"/>
      <c r="JHM3" s="994"/>
      <c r="JHN3" s="994"/>
      <c r="JHO3" s="994"/>
      <c r="JHP3" s="994"/>
      <c r="JHQ3" s="994"/>
      <c r="JHR3" s="994"/>
      <c r="JHS3" s="994"/>
      <c r="JHT3" s="994"/>
      <c r="JHU3" s="994"/>
      <c r="JHV3" s="994"/>
      <c r="JHW3" s="994"/>
      <c r="JHX3" s="994"/>
      <c r="JHY3" s="994"/>
      <c r="JHZ3" s="994"/>
      <c r="JIA3" s="994"/>
      <c r="JIB3" s="994"/>
      <c r="JIC3" s="994"/>
      <c r="JID3" s="994"/>
      <c r="JIE3" s="994"/>
      <c r="JIF3" s="994"/>
      <c r="JIG3" s="994"/>
      <c r="JIH3" s="994"/>
      <c r="JII3" s="994"/>
      <c r="JIJ3" s="994"/>
      <c r="JIK3" s="994"/>
      <c r="JIL3" s="994"/>
      <c r="JIM3" s="994"/>
      <c r="JIN3" s="994"/>
      <c r="JIO3" s="994"/>
      <c r="JIP3" s="994"/>
      <c r="JIQ3" s="994"/>
      <c r="JIR3" s="994"/>
      <c r="JIS3" s="994"/>
      <c r="JIT3" s="994"/>
      <c r="JIU3" s="994"/>
      <c r="JIV3" s="994"/>
      <c r="JIW3" s="994"/>
      <c r="JIX3" s="994"/>
      <c r="JIY3" s="994"/>
      <c r="JIZ3" s="994"/>
      <c r="JJA3" s="994"/>
      <c r="JJB3" s="994"/>
      <c r="JJC3" s="994"/>
      <c r="JJD3" s="994"/>
      <c r="JJE3" s="994"/>
      <c r="JJF3" s="994"/>
      <c r="JJG3" s="994"/>
      <c r="JJH3" s="994"/>
      <c r="JJI3" s="994"/>
      <c r="JJJ3" s="994"/>
      <c r="JJK3" s="994"/>
      <c r="JJL3" s="994"/>
      <c r="JJM3" s="994"/>
      <c r="JJN3" s="994"/>
      <c r="JJO3" s="994"/>
      <c r="JJP3" s="994"/>
      <c r="JJQ3" s="994"/>
      <c r="JJR3" s="994"/>
      <c r="JJS3" s="994"/>
      <c r="JJT3" s="994"/>
      <c r="JJU3" s="994"/>
      <c r="JJV3" s="994"/>
      <c r="JJW3" s="994"/>
      <c r="JJX3" s="994"/>
      <c r="JJY3" s="994"/>
      <c r="JJZ3" s="994"/>
      <c r="JKA3" s="994"/>
      <c r="JKB3" s="994"/>
      <c r="JKC3" s="994"/>
      <c r="JKD3" s="994"/>
      <c r="JKE3" s="994"/>
      <c r="JKF3" s="994"/>
      <c r="JKG3" s="994"/>
      <c r="JKH3" s="994"/>
      <c r="JKI3" s="994"/>
      <c r="JKJ3" s="994"/>
      <c r="JKK3" s="994"/>
      <c r="JKL3" s="994"/>
      <c r="JKM3" s="994"/>
      <c r="JKN3" s="994"/>
      <c r="JKO3" s="994"/>
      <c r="JKP3" s="994"/>
      <c r="JKQ3" s="994"/>
      <c r="JKR3" s="994"/>
      <c r="JKS3" s="994"/>
      <c r="JKT3" s="994"/>
      <c r="JKU3" s="994"/>
      <c r="JKV3" s="994"/>
      <c r="JKW3" s="994"/>
      <c r="JKX3" s="994"/>
      <c r="JKY3" s="994"/>
      <c r="JKZ3" s="994"/>
      <c r="JLA3" s="994"/>
      <c r="JLB3" s="994"/>
      <c r="JLC3" s="994"/>
      <c r="JLD3" s="994"/>
      <c r="JLE3" s="994"/>
      <c r="JLF3" s="994"/>
      <c r="JLG3" s="994"/>
      <c r="JLH3" s="994"/>
      <c r="JLI3" s="994"/>
      <c r="JLJ3" s="994"/>
      <c r="JLK3" s="994"/>
      <c r="JLL3" s="994"/>
      <c r="JLM3" s="994"/>
      <c r="JLN3" s="994"/>
      <c r="JLO3" s="994"/>
      <c r="JLP3" s="994"/>
      <c r="JLQ3" s="994"/>
      <c r="JLR3" s="994"/>
      <c r="JLS3" s="994"/>
      <c r="JLT3" s="994"/>
      <c r="JLU3" s="994"/>
      <c r="JLV3" s="994"/>
      <c r="JLW3" s="994"/>
      <c r="JLX3" s="994"/>
      <c r="JLY3" s="994"/>
      <c r="JLZ3" s="994"/>
      <c r="JMA3" s="994"/>
      <c r="JMB3" s="994"/>
      <c r="JMC3" s="994"/>
      <c r="JMD3" s="994"/>
      <c r="JME3" s="994"/>
      <c r="JMF3" s="994"/>
      <c r="JMG3" s="994"/>
      <c r="JMH3" s="994"/>
      <c r="JMI3" s="994"/>
      <c r="JMJ3" s="994"/>
      <c r="JMK3" s="994"/>
      <c r="JML3" s="994"/>
      <c r="JMM3" s="994"/>
      <c r="JMN3" s="994"/>
      <c r="JMO3" s="994"/>
      <c r="JMP3" s="994"/>
      <c r="JMQ3" s="994"/>
      <c r="JMR3" s="994"/>
      <c r="JMS3" s="994"/>
      <c r="JMT3" s="994"/>
      <c r="JMU3" s="994"/>
      <c r="JMV3" s="994"/>
      <c r="JMW3" s="994"/>
      <c r="JMX3" s="994"/>
      <c r="JMY3" s="994"/>
      <c r="JMZ3" s="994"/>
      <c r="JNA3" s="994"/>
      <c r="JNB3" s="994"/>
      <c r="JNC3" s="994"/>
      <c r="JND3" s="994"/>
      <c r="JNE3" s="994"/>
      <c r="JNF3" s="994"/>
      <c r="JNG3" s="994"/>
      <c r="JNH3" s="994"/>
      <c r="JNI3" s="994"/>
      <c r="JNJ3" s="994"/>
      <c r="JNK3" s="994"/>
      <c r="JNL3" s="994"/>
      <c r="JNM3" s="994"/>
      <c r="JNN3" s="994"/>
      <c r="JNO3" s="994"/>
      <c r="JNP3" s="994"/>
      <c r="JNQ3" s="994"/>
      <c r="JNR3" s="994"/>
      <c r="JNS3" s="994"/>
      <c r="JNT3" s="994"/>
      <c r="JNU3" s="994"/>
      <c r="JNV3" s="994"/>
      <c r="JNW3" s="994"/>
      <c r="JNX3" s="994"/>
      <c r="JNY3" s="994"/>
      <c r="JNZ3" s="994"/>
      <c r="JOA3" s="994"/>
      <c r="JOB3" s="994"/>
      <c r="JOC3" s="994"/>
      <c r="JOD3" s="994"/>
      <c r="JOE3" s="994"/>
      <c r="JOF3" s="994"/>
      <c r="JOG3" s="994"/>
      <c r="JOH3" s="994"/>
      <c r="JOI3" s="994"/>
      <c r="JOJ3" s="994"/>
      <c r="JOK3" s="994"/>
      <c r="JOL3" s="994"/>
      <c r="JOM3" s="994"/>
      <c r="JON3" s="994"/>
      <c r="JOO3" s="994"/>
      <c r="JOP3" s="994"/>
      <c r="JOQ3" s="994"/>
      <c r="JOR3" s="994"/>
      <c r="JOS3" s="994"/>
      <c r="JOT3" s="994"/>
      <c r="JOU3" s="994"/>
      <c r="JOV3" s="994"/>
      <c r="JOW3" s="994"/>
      <c r="JOX3" s="994"/>
      <c r="JOY3" s="994"/>
      <c r="JOZ3" s="994"/>
      <c r="JPA3" s="994"/>
      <c r="JPB3" s="994"/>
      <c r="JPC3" s="994"/>
      <c r="JPD3" s="994"/>
      <c r="JPE3" s="994"/>
      <c r="JPF3" s="994"/>
      <c r="JPG3" s="994"/>
      <c r="JPH3" s="994"/>
      <c r="JPI3" s="994"/>
      <c r="JPJ3" s="994"/>
      <c r="JPK3" s="994"/>
      <c r="JPL3" s="994"/>
      <c r="JPM3" s="994"/>
      <c r="JPN3" s="994"/>
      <c r="JPO3" s="994"/>
      <c r="JPP3" s="994"/>
      <c r="JPQ3" s="994"/>
      <c r="JPR3" s="994"/>
      <c r="JPS3" s="994"/>
      <c r="JPT3" s="994"/>
      <c r="JPU3" s="994"/>
      <c r="JPV3" s="994"/>
      <c r="JPW3" s="994"/>
      <c r="JPX3" s="994"/>
      <c r="JPY3" s="994"/>
      <c r="JPZ3" s="994"/>
      <c r="JQA3" s="994"/>
      <c r="JQB3" s="994"/>
      <c r="JQC3" s="994"/>
      <c r="JQD3" s="994"/>
      <c r="JQE3" s="994"/>
      <c r="JQF3" s="994"/>
      <c r="JQG3" s="994"/>
      <c r="JQH3" s="994"/>
      <c r="JQI3" s="994"/>
      <c r="JQJ3" s="994"/>
      <c r="JQK3" s="994"/>
      <c r="JQL3" s="994"/>
      <c r="JQM3" s="994"/>
      <c r="JQN3" s="994"/>
      <c r="JQO3" s="994"/>
      <c r="JQP3" s="994"/>
      <c r="JQQ3" s="994"/>
      <c r="JQR3" s="994"/>
      <c r="JQS3" s="994"/>
      <c r="JQT3" s="994"/>
      <c r="JQU3" s="994"/>
      <c r="JQV3" s="994"/>
      <c r="JQW3" s="994"/>
      <c r="JQX3" s="994"/>
      <c r="JQY3" s="994"/>
      <c r="JQZ3" s="994"/>
      <c r="JRA3" s="994"/>
      <c r="JRB3" s="994"/>
      <c r="JRC3" s="994"/>
      <c r="JRD3" s="994"/>
      <c r="JRE3" s="994"/>
      <c r="JRF3" s="994"/>
      <c r="JRG3" s="994"/>
      <c r="JRH3" s="994"/>
      <c r="JRI3" s="994"/>
      <c r="JRJ3" s="994"/>
      <c r="JRK3" s="994"/>
      <c r="JRL3" s="994"/>
      <c r="JRM3" s="994"/>
      <c r="JRN3" s="994"/>
      <c r="JRO3" s="994"/>
      <c r="JRP3" s="994"/>
      <c r="JRQ3" s="994"/>
      <c r="JRR3" s="994"/>
      <c r="JRS3" s="994"/>
      <c r="JRT3" s="994"/>
      <c r="JRU3" s="994"/>
      <c r="JRV3" s="994"/>
      <c r="JRW3" s="994"/>
      <c r="JRX3" s="994"/>
      <c r="JRY3" s="994"/>
      <c r="JRZ3" s="994"/>
      <c r="JSA3" s="994"/>
      <c r="JSB3" s="994"/>
      <c r="JSC3" s="994"/>
      <c r="JSD3" s="994"/>
      <c r="JSE3" s="994"/>
      <c r="JSF3" s="994"/>
      <c r="JSG3" s="994"/>
      <c r="JSH3" s="994"/>
      <c r="JSI3" s="994"/>
      <c r="JSJ3" s="994"/>
      <c r="JSK3" s="994"/>
      <c r="JSL3" s="994"/>
      <c r="JSM3" s="994"/>
      <c r="JSN3" s="994"/>
      <c r="JSO3" s="994"/>
      <c r="JSP3" s="994"/>
      <c r="JSQ3" s="994"/>
      <c r="JSR3" s="994"/>
      <c r="JSS3" s="994"/>
      <c r="JST3" s="994"/>
      <c r="JSU3" s="994"/>
      <c r="JSV3" s="994"/>
      <c r="JSW3" s="994"/>
      <c r="JSX3" s="994"/>
      <c r="JSY3" s="994"/>
      <c r="JSZ3" s="994"/>
      <c r="JTA3" s="994"/>
      <c r="JTB3" s="994"/>
      <c r="JTC3" s="994"/>
      <c r="JTD3" s="994"/>
      <c r="JTE3" s="994"/>
      <c r="JTF3" s="994"/>
      <c r="JTG3" s="994"/>
      <c r="JTH3" s="994"/>
      <c r="JTI3" s="994"/>
      <c r="JTJ3" s="994"/>
      <c r="JTK3" s="994"/>
      <c r="JTL3" s="994"/>
      <c r="JTM3" s="994"/>
      <c r="JTN3" s="994"/>
      <c r="JTO3" s="994"/>
      <c r="JTP3" s="994"/>
      <c r="JTQ3" s="994"/>
      <c r="JTR3" s="994"/>
      <c r="JTS3" s="994"/>
      <c r="JTT3" s="994"/>
      <c r="JTU3" s="994"/>
      <c r="JTV3" s="994"/>
      <c r="JTW3" s="994"/>
      <c r="JTX3" s="994"/>
      <c r="JTY3" s="994"/>
      <c r="JTZ3" s="994"/>
      <c r="JUA3" s="994"/>
      <c r="JUB3" s="994"/>
      <c r="JUC3" s="994"/>
      <c r="JUD3" s="994"/>
      <c r="JUE3" s="994"/>
      <c r="JUF3" s="994"/>
      <c r="JUG3" s="994"/>
      <c r="JUH3" s="994"/>
      <c r="JUI3" s="994"/>
      <c r="JUJ3" s="994"/>
      <c r="JUK3" s="994"/>
      <c r="JUL3" s="994"/>
      <c r="JUM3" s="994"/>
      <c r="JUN3" s="994"/>
      <c r="JUO3" s="994"/>
      <c r="JUP3" s="994"/>
      <c r="JUQ3" s="994"/>
      <c r="JUR3" s="994"/>
      <c r="JUS3" s="994"/>
      <c r="JUT3" s="994"/>
      <c r="JUU3" s="994"/>
      <c r="JUV3" s="994"/>
      <c r="JUW3" s="994"/>
      <c r="JUX3" s="994"/>
      <c r="JUY3" s="994"/>
      <c r="JUZ3" s="994"/>
      <c r="JVA3" s="994"/>
      <c r="JVB3" s="994"/>
      <c r="JVC3" s="994"/>
      <c r="JVD3" s="994"/>
      <c r="JVE3" s="994"/>
      <c r="JVF3" s="994"/>
      <c r="JVG3" s="994"/>
      <c r="JVH3" s="994"/>
      <c r="JVI3" s="994"/>
      <c r="JVJ3" s="994"/>
      <c r="JVK3" s="994"/>
      <c r="JVL3" s="994"/>
      <c r="JVM3" s="994"/>
      <c r="JVN3" s="994"/>
      <c r="JVO3" s="994"/>
      <c r="JVP3" s="994"/>
      <c r="JVQ3" s="994"/>
      <c r="JVR3" s="994"/>
      <c r="JVS3" s="994"/>
      <c r="JVT3" s="994"/>
      <c r="JVU3" s="994"/>
      <c r="JVV3" s="994"/>
      <c r="JVW3" s="994"/>
      <c r="JVX3" s="994"/>
      <c r="JVY3" s="994"/>
      <c r="JVZ3" s="994"/>
      <c r="JWA3" s="994"/>
      <c r="JWB3" s="994"/>
      <c r="JWC3" s="994"/>
      <c r="JWD3" s="994"/>
      <c r="JWE3" s="994"/>
      <c r="JWF3" s="994"/>
      <c r="JWG3" s="994"/>
      <c r="JWH3" s="994"/>
      <c r="JWI3" s="994"/>
      <c r="JWJ3" s="994"/>
      <c r="JWK3" s="994"/>
      <c r="JWL3" s="994"/>
      <c r="JWM3" s="994"/>
      <c r="JWN3" s="994"/>
      <c r="JWO3" s="994"/>
      <c r="JWP3" s="994"/>
      <c r="JWQ3" s="994"/>
      <c r="JWR3" s="994"/>
      <c r="JWS3" s="994"/>
      <c r="JWT3" s="994"/>
      <c r="JWU3" s="994"/>
      <c r="JWV3" s="994"/>
      <c r="JWW3" s="994"/>
      <c r="JWX3" s="994"/>
      <c r="JWY3" s="994"/>
      <c r="JWZ3" s="994"/>
      <c r="JXA3" s="994"/>
      <c r="JXB3" s="994"/>
      <c r="JXC3" s="994"/>
      <c r="JXD3" s="994"/>
      <c r="JXE3" s="994"/>
      <c r="JXF3" s="994"/>
      <c r="JXG3" s="994"/>
      <c r="JXH3" s="994"/>
      <c r="JXI3" s="994"/>
      <c r="JXJ3" s="994"/>
      <c r="JXK3" s="994"/>
      <c r="JXL3" s="994"/>
      <c r="JXM3" s="994"/>
      <c r="JXN3" s="994"/>
      <c r="JXO3" s="994"/>
      <c r="JXP3" s="994"/>
      <c r="JXQ3" s="994"/>
      <c r="JXR3" s="994"/>
      <c r="JXS3" s="994"/>
      <c r="JXT3" s="994"/>
      <c r="JXU3" s="994"/>
      <c r="JXV3" s="994"/>
      <c r="JXW3" s="994"/>
      <c r="JXX3" s="994"/>
      <c r="JXY3" s="994"/>
      <c r="JXZ3" s="994"/>
      <c r="JYA3" s="994"/>
      <c r="JYB3" s="994"/>
      <c r="JYC3" s="994"/>
      <c r="JYD3" s="994"/>
      <c r="JYE3" s="994"/>
      <c r="JYF3" s="994"/>
      <c r="JYG3" s="994"/>
      <c r="JYH3" s="994"/>
      <c r="JYI3" s="994"/>
      <c r="JYJ3" s="994"/>
      <c r="JYK3" s="994"/>
      <c r="JYL3" s="994"/>
      <c r="JYM3" s="994"/>
      <c r="JYN3" s="994"/>
      <c r="JYO3" s="994"/>
      <c r="JYP3" s="994"/>
      <c r="JYQ3" s="994"/>
      <c r="JYR3" s="994"/>
      <c r="JYS3" s="994"/>
      <c r="JYT3" s="994"/>
      <c r="JYU3" s="994"/>
      <c r="JYV3" s="994"/>
      <c r="JYW3" s="994"/>
      <c r="JYX3" s="994"/>
      <c r="JYY3" s="994"/>
      <c r="JYZ3" s="994"/>
      <c r="JZA3" s="994"/>
      <c r="JZB3" s="994"/>
      <c r="JZC3" s="994"/>
      <c r="JZD3" s="994"/>
      <c r="JZE3" s="994"/>
      <c r="JZF3" s="994"/>
      <c r="JZG3" s="994"/>
      <c r="JZH3" s="994"/>
      <c r="JZI3" s="994"/>
      <c r="JZJ3" s="994"/>
      <c r="JZK3" s="994"/>
      <c r="JZL3" s="994"/>
      <c r="JZM3" s="994"/>
      <c r="JZN3" s="994"/>
      <c r="JZO3" s="994"/>
      <c r="JZP3" s="994"/>
      <c r="JZQ3" s="994"/>
      <c r="JZR3" s="994"/>
      <c r="JZS3" s="994"/>
      <c r="JZT3" s="994"/>
      <c r="JZU3" s="994"/>
      <c r="JZV3" s="994"/>
      <c r="JZW3" s="994"/>
      <c r="JZX3" s="994"/>
      <c r="JZY3" s="994"/>
      <c r="JZZ3" s="994"/>
      <c r="KAA3" s="994"/>
      <c r="KAB3" s="994"/>
      <c r="KAC3" s="994"/>
      <c r="KAD3" s="994"/>
      <c r="KAE3" s="994"/>
      <c r="KAF3" s="994"/>
      <c r="KAG3" s="994"/>
      <c r="KAH3" s="994"/>
      <c r="KAI3" s="994"/>
      <c r="KAJ3" s="994"/>
      <c r="KAK3" s="994"/>
      <c r="KAL3" s="994"/>
      <c r="KAM3" s="994"/>
      <c r="KAN3" s="994"/>
      <c r="KAO3" s="994"/>
      <c r="KAP3" s="994"/>
      <c r="KAQ3" s="994"/>
      <c r="KAR3" s="994"/>
      <c r="KAS3" s="994"/>
      <c r="KAT3" s="994"/>
      <c r="KAU3" s="994"/>
      <c r="KAV3" s="994"/>
      <c r="KAW3" s="994"/>
      <c r="KAX3" s="994"/>
      <c r="KAY3" s="994"/>
      <c r="KAZ3" s="994"/>
      <c r="KBA3" s="994"/>
      <c r="KBB3" s="994"/>
      <c r="KBC3" s="994"/>
      <c r="KBD3" s="994"/>
      <c r="KBE3" s="994"/>
      <c r="KBF3" s="994"/>
      <c r="KBG3" s="994"/>
      <c r="KBH3" s="994"/>
      <c r="KBI3" s="994"/>
      <c r="KBJ3" s="994"/>
      <c r="KBK3" s="994"/>
      <c r="KBL3" s="994"/>
      <c r="KBM3" s="994"/>
      <c r="KBN3" s="994"/>
      <c r="KBO3" s="994"/>
      <c r="KBP3" s="994"/>
      <c r="KBQ3" s="994"/>
      <c r="KBR3" s="994"/>
      <c r="KBS3" s="994"/>
      <c r="KBT3" s="994"/>
      <c r="KBU3" s="994"/>
      <c r="KBV3" s="994"/>
      <c r="KBW3" s="994"/>
      <c r="KBX3" s="994"/>
      <c r="KBY3" s="994"/>
      <c r="KBZ3" s="994"/>
      <c r="KCA3" s="994"/>
      <c r="KCB3" s="994"/>
      <c r="KCC3" s="994"/>
      <c r="KCD3" s="994"/>
      <c r="KCE3" s="994"/>
      <c r="KCF3" s="994"/>
      <c r="KCG3" s="994"/>
      <c r="KCH3" s="994"/>
      <c r="KCI3" s="994"/>
      <c r="KCJ3" s="994"/>
      <c r="KCK3" s="994"/>
      <c r="KCL3" s="994"/>
      <c r="KCM3" s="994"/>
      <c r="KCN3" s="994"/>
      <c r="KCO3" s="994"/>
      <c r="KCP3" s="994"/>
      <c r="KCQ3" s="994"/>
      <c r="KCR3" s="994"/>
      <c r="KCS3" s="994"/>
      <c r="KCT3" s="994"/>
      <c r="KCU3" s="994"/>
      <c r="KCV3" s="994"/>
      <c r="KCW3" s="994"/>
      <c r="KCX3" s="994"/>
      <c r="KCY3" s="994"/>
      <c r="KCZ3" s="994"/>
      <c r="KDA3" s="994"/>
      <c r="KDB3" s="994"/>
      <c r="KDC3" s="994"/>
      <c r="KDD3" s="994"/>
      <c r="KDE3" s="994"/>
      <c r="KDF3" s="994"/>
      <c r="KDG3" s="994"/>
      <c r="KDH3" s="994"/>
      <c r="KDI3" s="994"/>
      <c r="KDJ3" s="994"/>
      <c r="KDK3" s="994"/>
      <c r="KDL3" s="994"/>
      <c r="KDM3" s="994"/>
      <c r="KDN3" s="994"/>
      <c r="KDO3" s="994"/>
      <c r="KDP3" s="994"/>
      <c r="KDQ3" s="994"/>
      <c r="KDR3" s="994"/>
      <c r="KDS3" s="994"/>
      <c r="KDT3" s="994"/>
      <c r="KDU3" s="994"/>
      <c r="KDV3" s="994"/>
      <c r="KDW3" s="994"/>
      <c r="KDX3" s="994"/>
      <c r="KDY3" s="994"/>
      <c r="KDZ3" s="994"/>
      <c r="KEA3" s="994"/>
      <c r="KEB3" s="994"/>
      <c r="KEC3" s="994"/>
      <c r="KED3" s="994"/>
      <c r="KEE3" s="994"/>
      <c r="KEF3" s="994"/>
      <c r="KEG3" s="994"/>
      <c r="KEH3" s="994"/>
      <c r="KEI3" s="994"/>
      <c r="KEJ3" s="994"/>
      <c r="KEK3" s="994"/>
      <c r="KEL3" s="994"/>
      <c r="KEM3" s="994"/>
      <c r="KEN3" s="994"/>
      <c r="KEO3" s="994"/>
      <c r="KEP3" s="994"/>
      <c r="KEQ3" s="994"/>
      <c r="KER3" s="994"/>
      <c r="KES3" s="994"/>
      <c r="KET3" s="994"/>
      <c r="KEU3" s="994"/>
      <c r="KEV3" s="994"/>
      <c r="KEW3" s="994"/>
      <c r="KEX3" s="994"/>
      <c r="KEY3" s="994"/>
      <c r="KEZ3" s="994"/>
      <c r="KFA3" s="994"/>
      <c r="KFB3" s="994"/>
      <c r="KFC3" s="994"/>
      <c r="KFD3" s="994"/>
      <c r="KFE3" s="994"/>
      <c r="KFF3" s="994"/>
      <c r="KFG3" s="994"/>
      <c r="KFH3" s="994"/>
      <c r="KFI3" s="994"/>
      <c r="KFJ3" s="994"/>
      <c r="KFK3" s="994"/>
      <c r="KFL3" s="994"/>
      <c r="KFM3" s="994"/>
      <c r="KFN3" s="994"/>
      <c r="KFO3" s="994"/>
      <c r="KFP3" s="994"/>
      <c r="KFQ3" s="994"/>
      <c r="KFR3" s="994"/>
      <c r="KFS3" s="994"/>
      <c r="KFT3" s="994"/>
      <c r="KFU3" s="994"/>
      <c r="KFV3" s="994"/>
      <c r="KFW3" s="994"/>
      <c r="KFX3" s="994"/>
      <c r="KFY3" s="994"/>
      <c r="KFZ3" s="994"/>
      <c r="KGA3" s="994"/>
      <c r="KGB3" s="994"/>
      <c r="KGC3" s="994"/>
      <c r="KGD3" s="994"/>
      <c r="KGE3" s="994"/>
      <c r="KGF3" s="994"/>
      <c r="KGG3" s="994"/>
      <c r="KGH3" s="994"/>
      <c r="KGI3" s="994"/>
      <c r="KGJ3" s="994"/>
      <c r="KGK3" s="994"/>
      <c r="KGL3" s="994"/>
      <c r="KGM3" s="994"/>
      <c r="KGN3" s="994"/>
      <c r="KGO3" s="994"/>
      <c r="KGP3" s="994"/>
      <c r="KGQ3" s="994"/>
      <c r="KGR3" s="994"/>
      <c r="KGS3" s="994"/>
      <c r="KGT3" s="994"/>
      <c r="KGU3" s="994"/>
      <c r="KGV3" s="994"/>
      <c r="KGW3" s="994"/>
      <c r="KGX3" s="994"/>
      <c r="KGY3" s="994"/>
      <c r="KGZ3" s="994"/>
      <c r="KHA3" s="994"/>
      <c r="KHB3" s="994"/>
      <c r="KHC3" s="994"/>
      <c r="KHD3" s="994"/>
      <c r="KHE3" s="994"/>
      <c r="KHF3" s="994"/>
      <c r="KHG3" s="994"/>
      <c r="KHH3" s="994"/>
      <c r="KHI3" s="994"/>
      <c r="KHJ3" s="994"/>
      <c r="KHK3" s="994"/>
      <c r="KHL3" s="994"/>
      <c r="KHM3" s="994"/>
      <c r="KHN3" s="994"/>
      <c r="KHO3" s="994"/>
      <c r="KHP3" s="994"/>
      <c r="KHQ3" s="994"/>
      <c r="KHR3" s="994"/>
      <c r="KHS3" s="994"/>
      <c r="KHT3" s="994"/>
      <c r="KHU3" s="994"/>
      <c r="KHV3" s="994"/>
      <c r="KHW3" s="994"/>
      <c r="KHX3" s="994"/>
      <c r="KHY3" s="994"/>
      <c r="KHZ3" s="994"/>
      <c r="KIA3" s="994"/>
      <c r="KIB3" s="994"/>
      <c r="KIC3" s="994"/>
      <c r="KID3" s="994"/>
      <c r="KIE3" s="994"/>
      <c r="KIF3" s="994"/>
      <c r="KIG3" s="994"/>
      <c r="KIH3" s="994"/>
      <c r="KII3" s="994"/>
      <c r="KIJ3" s="994"/>
      <c r="KIK3" s="994"/>
      <c r="KIL3" s="994"/>
      <c r="KIM3" s="994"/>
      <c r="KIN3" s="994"/>
      <c r="KIO3" s="994"/>
      <c r="KIP3" s="994"/>
      <c r="KIQ3" s="994"/>
      <c r="KIR3" s="994"/>
      <c r="KIS3" s="994"/>
      <c r="KIT3" s="994"/>
      <c r="KIU3" s="994"/>
      <c r="KIV3" s="994"/>
      <c r="KIW3" s="994"/>
      <c r="KIX3" s="994"/>
      <c r="KIY3" s="994"/>
      <c r="KIZ3" s="994"/>
      <c r="KJA3" s="994"/>
      <c r="KJB3" s="994"/>
      <c r="KJC3" s="994"/>
      <c r="KJD3" s="994"/>
      <c r="KJE3" s="994"/>
      <c r="KJF3" s="994"/>
      <c r="KJG3" s="994"/>
      <c r="KJH3" s="994"/>
      <c r="KJI3" s="994"/>
      <c r="KJJ3" s="994"/>
      <c r="KJK3" s="994"/>
      <c r="KJL3" s="994"/>
      <c r="KJM3" s="994"/>
      <c r="KJN3" s="994"/>
      <c r="KJO3" s="994"/>
      <c r="KJP3" s="994"/>
      <c r="KJQ3" s="994"/>
      <c r="KJR3" s="994"/>
      <c r="KJS3" s="994"/>
      <c r="KJT3" s="994"/>
      <c r="KJU3" s="994"/>
      <c r="KJV3" s="994"/>
      <c r="KJW3" s="994"/>
      <c r="KJX3" s="994"/>
      <c r="KJY3" s="994"/>
      <c r="KJZ3" s="994"/>
      <c r="KKA3" s="994"/>
      <c r="KKB3" s="994"/>
      <c r="KKC3" s="994"/>
      <c r="KKD3" s="994"/>
      <c r="KKE3" s="994"/>
      <c r="KKF3" s="994"/>
      <c r="KKG3" s="994"/>
      <c r="KKH3" s="994"/>
      <c r="KKI3" s="994"/>
      <c r="KKJ3" s="994"/>
      <c r="KKK3" s="994"/>
      <c r="KKL3" s="994"/>
      <c r="KKM3" s="994"/>
      <c r="KKN3" s="994"/>
      <c r="KKO3" s="994"/>
      <c r="KKP3" s="994"/>
      <c r="KKQ3" s="994"/>
      <c r="KKR3" s="994"/>
      <c r="KKS3" s="994"/>
      <c r="KKT3" s="994"/>
      <c r="KKU3" s="994"/>
      <c r="KKV3" s="994"/>
      <c r="KKW3" s="994"/>
      <c r="KKX3" s="994"/>
      <c r="KKY3" s="994"/>
      <c r="KKZ3" s="994"/>
      <c r="KLA3" s="994"/>
      <c r="KLB3" s="994"/>
      <c r="KLC3" s="994"/>
      <c r="KLD3" s="994"/>
      <c r="KLE3" s="994"/>
      <c r="KLF3" s="994"/>
      <c r="KLG3" s="994"/>
      <c r="KLH3" s="994"/>
      <c r="KLI3" s="994"/>
      <c r="KLJ3" s="994"/>
      <c r="KLK3" s="994"/>
      <c r="KLL3" s="994"/>
      <c r="KLM3" s="994"/>
      <c r="KLN3" s="994"/>
      <c r="KLO3" s="994"/>
      <c r="KLP3" s="994"/>
      <c r="KLQ3" s="994"/>
      <c r="KLR3" s="994"/>
      <c r="KLS3" s="994"/>
      <c r="KLT3" s="994"/>
      <c r="KLU3" s="994"/>
      <c r="KLV3" s="994"/>
      <c r="KLW3" s="994"/>
      <c r="KLX3" s="994"/>
      <c r="KLY3" s="994"/>
      <c r="KLZ3" s="994"/>
      <c r="KMA3" s="994"/>
      <c r="KMB3" s="994"/>
      <c r="KMC3" s="994"/>
      <c r="KMD3" s="994"/>
      <c r="KME3" s="994"/>
      <c r="KMF3" s="994"/>
      <c r="KMG3" s="994"/>
      <c r="KMH3" s="994"/>
      <c r="KMI3" s="994"/>
      <c r="KMJ3" s="994"/>
      <c r="KMK3" s="994"/>
      <c r="KML3" s="994"/>
      <c r="KMM3" s="994"/>
      <c r="KMN3" s="994"/>
      <c r="KMO3" s="994"/>
      <c r="KMP3" s="994"/>
      <c r="KMQ3" s="994"/>
      <c r="KMR3" s="994"/>
      <c r="KMS3" s="994"/>
      <c r="KMT3" s="994"/>
      <c r="KMU3" s="994"/>
      <c r="KMV3" s="994"/>
      <c r="KMW3" s="994"/>
      <c r="KMX3" s="994"/>
      <c r="KMY3" s="994"/>
      <c r="KMZ3" s="994"/>
      <c r="KNA3" s="994"/>
      <c r="KNB3" s="994"/>
      <c r="KNC3" s="994"/>
      <c r="KND3" s="994"/>
      <c r="KNE3" s="994"/>
      <c r="KNF3" s="994"/>
      <c r="KNG3" s="994"/>
      <c r="KNH3" s="994"/>
      <c r="KNI3" s="994"/>
      <c r="KNJ3" s="994"/>
      <c r="KNK3" s="994"/>
      <c r="KNL3" s="994"/>
      <c r="KNM3" s="994"/>
      <c r="KNN3" s="994"/>
      <c r="KNO3" s="994"/>
      <c r="KNP3" s="994"/>
      <c r="KNQ3" s="994"/>
      <c r="KNR3" s="994"/>
      <c r="KNS3" s="994"/>
      <c r="KNT3" s="994"/>
      <c r="KNU3" s="994"/>
      <c r="KNV3" s="994"/>
      <c r="KNW3" s="994"/>
      <c r="KNX3" s="994"/>
      <c r="KNY3" s="994"/>
      <c r="KNZ3" s="994"/>
      <c r="KOA3" s="994"/>
      <c r="KOB3" s="994"/>
      <c r="KOC3" s="994"/>
      <c r="KOD3" s="994"/>
      <c r="KOE3" s="994"/>
      <c r="KOF3" s="994"/>
      <c r="KOG3" s="994"/>
      <c r="KOH3" s="994"/>
      <c r="KOI3" s="994"/>
      <c r="KOJ3" s="994"/>
      <c r="KOK3" s="994"/>
      <c r="KOL3" s="994"/>
      <c r="KOM3" s="994"/>
      <c r="KON3" s="994"/>
      <c r="KOO3" s="994"/>
      <c r="KOP3" s="994"/>
      <c r="KOQ3" s="994"/>
      <c r="KOR3" s="994"/>
      <c r="KOS3" s="994"/>
      <c r="KOT3" s="994"/>
      <c r="KOU3" s="994"/>
      <c r="KOV3" s="994"/>
      <c r="KOW3" s="994"/>
      <c r="KOX3" s="994"/>
      <c r="KOY3" s="994"/>
      <c r="KOZ3" s="994"/>
      <c r="KPA3" s="994"/>
      <c r="KPB3" s="994"/>
      <c r="KPC3" s="994"/>
      <c r="KPD3" s="994"/>
      <c r="KPE3" s="994"/>
      <c r="KPF3" s="994"/>
      <c r="KPG3" s="994"/>
      <c r="KPH3" s="994"/>
      <c r="KPI3" s="994"/>
      <c r="KPJ3" s="994"/>
      <c r="KPK3" s="994"/>
      <c r="KPL3" s="994"/>
      <c r="KPM3" s="994"/>
      <c r="KPN3" s="994"/>
      <c r="KPO3" s="994"/>
      <c r="KPP3" s="994"/>
      <c r="KPQ3" s="994"/>
      <c r="KPR3" s="994"/>
      <c r="KPS3" s="994"/>
      <c r="KPT3" s="994"/>
      <c r="KPU3" s="994"/>
      <c r="KPV3" s="994"/>
      <c r="KPW3" s="994"/>
      <c r="KPX3" s="994"/>
      <c r="KPY3" s="994"/>
      <c r="KPZ3" s="994"/>
      <c r="KQA3" s="994"/>
      <c r="KQB3" s="994"/>
      <c r="KQC3" s="994"/>
      <c r="KQD3" s="994"/>
      <c r="KQE3" s="994"/>
      <c r="KQF3" s="994"/>
      <c r="KQG3" s="994"/>
      <c r="KQH3" s="994"/>
      <c r="KQI3" s="994"/>
      <c r="KQJ3" s="994"/>
      <c r="KQK3" s="994"/>
      <c r="KQL3" s="994"/>
      <c r="KQM3" s="994"/>
      <c r="KQN3" s="994"/>
      <c r="KQO3" s="994"/>
      <c r="KQP3" s="994"/>
      <c r="KQQ3" s="994"/>
      <c r="KQR3" s="994"/>
      <c r="KQS3" s="994"/>
      <c r="KQT3" s="994"/>
      <c r="KQU3" s="994"/>
      <c r="KQV3" s="994"/>
      <c r="KQW3" s="994"/>
      <c r="KQX3" s="994"/>
      <c r="KQY3" s="994"/>
      <c r="KQZ3" s="994"/>
      <c r="KRA3" s="994"/>
      <c r="KRB3" s="994"/>
      <c r="KRC3" s="994"/>
      <c r="KRD3" s="994"/>
      <c r="KRE3" s="994"/>
      <c r="KRF3" s="994"/>
      <c r="KRG3" s="994"/>
      <c r="KRH3" s="994"/>
      <c r="KRI3" s="994"/>
      <c r="KRJ3" s="994"/>
      <c r="KRK3" s="994"/>
      <c r="KRL3" s="994"/>
      <c r="KRM3" s="994"/>
      <c r="KRN3" s="994"/>
      <c r="KRO3" s="994"/>
      <c r="KRP3" s="994"/>
      <c r="KRQ3" s="994"/>
      <c r="KRR3" s="994"/>
      <c r="KRS3" s="994"/>
      <c r="KRT3" s="994"/>
      <c r="KRU3" s="994"/>
      <c r="KRV3" s="994"/>
      <c r="KRW3" s="994"/>
      <c r="KRX3" s="994"/>
      <c r="KRY3" s="994"/>
      <c r="KRZ3" s="994"/>
      <c r="KSA3" s="994"/>
      <c r="KSB3" s="994"/>
      <c r="KSC3" s="994"/>
      <c r="KSD3" s="994"/>
      <c r="KSE3" s="994"/>
      <c r="KSF3" s="994"/>
      <c r="KSG3" s="994"/>
      <c r="KSH3" s="994"/>
      <c r="KSI3" s="994"/>
      <c r="KSJ3" s="994"/>
      <c r="KSK3" s="994"/>
      <c r="KSL3" s="994"/>
      <c r="KSM3" s="994"/>
      <c r="KSN3" s="994"/>
      <c r="KSO3" s="994"/>
      <c r="KSP3" s="994"/>
      <c r="KSQ3" s="994"/>
      <c r="KSR3" s="994"/>
      <c r="KSS3" s="994"/>
      <c r="KST3" s="994"/>
      <c r="KSU3" s="994"/>
      <c r="KSV3" s="994"/>
      <c r="KSW3" s="994"/>
      <c r="KSX3" s="994"/>
      <c r="KSY3" s="994"/>
      <c r="KSZ3" s="994"/>
      <c r="KTA3" s="994"/>
      <c r="KTB3" s="994"/>
      <c r="KTC3" s="994"/>
      <c r="KTD3" s="994"/>
      <c r="KTE3" s="994"/>
      <c r="KTF3" s="994"/>
      <c r="KTG3" s="994"/>
      <c r="KTH3" s="994"/>
      <c r="KTI3" s="994"/>
      <c r="KTJ3" s="994"/>
      <c r="KTK3" s="994"/>
      <c r="KTL3" s="994"/>
      <c r="KTM3" s="994"/>
      <c r="KTN3" s="994"/>
      <c r="KTO3" s="994"/>
      <c r="KTP3" s="994"/>
      <c r="KTQ3" s="994"/>
      <c r="KTR3" s="994"/>
      <c r="KTS3" s="994"/>
      <c r="KTT3" s="994"/>
      <c r="KTU3" s="994"/>
      <c r="KTV3" s="994"/>
      <c r="KTW3" s="994"/>
      <c r="KTX3" s="994"/>
      <c r="KTY3" s="994"/>
      <c r="KTZ3" s="994"/>
      <c r="KUA3" s="994"/>
      <c r="KUB3" s="994"/>
      <c r="KUC3" s="994"/>
      <c r="KUD3" s="994"/>
      <c r="KUE3" s="994"/>
      <c r="KUF3" s="994"/>
      <c r="KUG3" s="994"/>
      <c r="KUH3" s="994"/>
      <c r="KUI3" s="994"/>
      <c r="KUJ3" s="994"/>
      <c r="KUK3" s="994"/>
      <c r="KUL3" s="994"/>
      <c r="KUM3" s="994"/>
      <c r="KUN3" s="994"/>
      <c r="KUO3" s="994"/>
      <c r="KUP3" s="994"/>
      <c r="KUQ3" s="994"/>
      <c r="KUR3" s="994"/>
      <c r="KUS3" s="994"/>
      <c r="KUT3" s="994"/>
      <c r="KUU3" s="994"/>
      <c r="KUV3" s="994"/>
      <c r="KUW3" s="994"/>
      <c r="KUX3" s="994"/>
      <c r="KUY3" s="994"/>
      <c r="KUZ3" s="994"/>
      <c r="KVA3" s="994"/>
      <c r="KVB3" s="994"/>
      <c r="KVC3" s="994"/>
      <c r="KVD3" s="994"/>
      <c r="KVE3" s="994"/>
      <c r="KVF3" s="994"/>
      <c r="KVG3" s="994"/>
      <c r="KVH3" s="994"/>
      <c r="KVI3" s="994"/>
      <c r="KVJ3" s="994"/>
      <c r="KVK3" s="994"/>
      <c r="KVL3" s="994"/>
      <c r="KVM3" s="994"/>
      <c r="KVN3" s="994"/>
      <c r="KVO3" s="994"/>
      <c r="KVP3" s="994"/>
      <c r="KVQ3" s="994"/>
      <c r="KVR3" s="994"/>
      <c r="KVS3" s="994"/>
      <c r="KVT3" s="994"/>
      <c r="KVU3" s="994"/>
      <c r="KVV3" s="994"/>
      <c r="KVW3" s="994"/>
      <c r="KVX3" s="994"/>
      <c r="KVY3" s="994"/>
      <c r="KVZ3" s="994"/>
      <c r="KWA3" s="994"/>
      <c r="KWB3" s="994"/>
      <c r="KWC3" s="994"/>
      <c r="KWD3" s="994"/>
      <c r="KWE3" s="994"/>
      <c r="KWF3" s="994"/>
      <c r="KWG3" s="994"/>
      <c r="KWH3" s="994"/>
      <c r="KWI3" s="994"/>
      <c r="KWJ3" s="994"/>
      <c r="KWK3" s="994"/>
      <c r="KWL3" s="994"/>
      <c r="KWM3" s="994"/>
      <c r="KWN3" s="994"/>
      <c r="KWO3" s="994"/>
      <c r="KWP3" s="994"/>
      <c r="KWQ3" s="994"/>
      <c r="KWR3" s="994"/>
      <c r="KWS3" s="994"/>
      <c r="KWT3" s="994"/>
      <c r="KWU3" s="994"/>
      <c r="KWV3" s="994"/>
      <c r="KWW3" s="994"/>
      <c r="KWX3" s="994"/>
      <c r="KWY3" s="994"/>
      <c r="KWZ3" s="994"/>
      <c r="KXA3" s="994"/>
      <c r="KXB3" s="994"/>
      <c r="KXC3" s="994"/>
      <c r="KXD3" s="994"/>
      <c r="KXE3" s="994"/>
      <c r="KXF3" s="994"/>
      <c r="KXG3" s="994"/>
      <c r="KXH3" s="994"/>
      <c r="KXI3" s="994"/>
      <c r="KXJ3" s="994"/>
      <c r="KXK3" s="994"/>
      <c r="KXL3" s="994"/>
      <c r="KXM3" s="994"/>
      <c r="KXN3" s="994"/>
      <c r="KXO3" s="994"/>
      <c r="KXP3" s="994"/>
      <c r="KXQ3" s="994"/>
      <c r="KXR3" s="994"/>
      <c r="KXS3" s="994"/>
      <c r="KXT3" s="994"/>
      <c r="KXU3" s="994"/>
      <c r="KXV3" s="994"/>
      <c r="KXW3" s="994"/>
      <c r="KXX3" s="994"/>
      <c r="KXY3" s="994"/>
      <c r="KXZ3" s="994"/>
      <c r="KYA3" s="994"/>
      <c r="KYB3" s="994"/>
      <c r="KYC3" s="994"/>
      <c r="KYD3" s="994"/>
      <c r="KYE3" s="994"/>
      <c r="KYF3" s="994"/>
      <c r="KYG3" s="994"/>
      <c r="KYH3" s="994"/>
      <c r="KYI3" s="994"/>
      <c r="KYJ3" s="994"/>
      <c r="KYK3" s="994"/>
      <c r="KYL3" s="994"/>
      <c r="KYM3" s="994"/>
      <c r="KYN3" s="994"/>
      <c r="KYO3" s="994"/>
      <c r="KYP3" s="994"/>
      <c r="KYQ3" s="994"/>
      <c r="KYR3" s="994"/>
      <c r="KYS3" s="994"/>
      <c r="KYT3" s="994"/>
      <c r="KYU3" s="994"/>
      <c r="KYV3" s="994"/>
      <c r="KYW3" s="994"/>
      <c r="KYX3" s="994"/>
      <c r="KYY3" s="994"/>
      <c r="KYZ3" s="994"/>
      <c r="KZA3" s="994"/>
      <c r="KZB3" s="994"/>
      <c r="KZC3" s="994"/>
      <c r="KZD3" s="994"/>
      <c r="KZE3" s="994"/>
      <c r="KZF3" s="994"/>
      <c r="KZG3" s="994"/>
      <c r="KZH3" s="994"/>
      <c r="KZI3" s="994"/>
      <c r="KZJ3" s="994"/>
      <c r="KZK3" s="994"/>
      <c r="KZL3" s="994"/>
      <c r="KZM3" s="994"/>
      <c r="KZN3" s="994"/>
      <c r="KZO3" s="994"/>
      <c r="KZP3" s="994"/>
      <c r="KZQ3" s="994"/>
      <c r="KZR3" s="994"/>
      <c r="KZS3" s="994"/>
      <c r="KZT3" s="994"/>
      <c r="KZU3" s="994"/>
      <c r="KZV3" s="994"/>
      <c r="KZW3" s="994"/>
      <c r="KZX3" s="994"/>
      <c r="KZY3" s="994"/>
      <c r="KZZ3" s="994"/>
      <c r="LAA3" s="994"/>
      <c r="LAB3" s="994"/>
      <c r="LAC3" s="994"/>
      <c r="LAD3" s="994"/>
      <c r="LAE3" s="994"/>
      <c r="LAF3" s="994"/>
      <c r="LAG3" s="994"/>
      <c r="LAH3" s="994"/>
      <c r="LAI3" s="994"/>
      <c r="LAJ3" s="994"/>
      <c r="LAK3" s="994"/>
      <c r="LAL3" s="994"/>
      <c r="LAM3" s="994"/>
      <c r="LAN3" s="994"/>
      <c r="LAO3" s="994"/>
      <c r="LAP3" s="994"/>
      <c r="LAQ3" s="994"/>
      <c r="LAR3" s="994"/>
      <c r="LAS3" s="994"/>
      <c r="LAT3" s="994"/>
      <c r="LAU3" s="994"/>
      <c r="LAV3" s="994"/>
      <c r="LAW3" s="994"/>
      <c r="LAX3" s="994"/>
      <c r="LAY3" s="994"/>
      <c r="LAZ3" s="994"/>
      <c r="LBA3" s="994"/>
      <c r="LBB3" s="994"/>
      <c r="LBC3" s="994"/>
      <c r="LBD3" s="994"/>
      <c r="LBE3" s="994"/>
      <c r="LBF3" s="994"/>
      <c r="LBG3" s="994"/>
      <c r="LBH3" s="994"/>
      <c r="LBI3" s="994"/>
      <c r="LBJ3" s="994"/>
      <c r="LBK3" s="994"/>
      <c r="LBL3" s="994"/>
      <c r="LBM3" s="994"/>
      <c r="LBN3" s="994"/>
      <c r="LBO3" s="994"/>
      <c r="LBP3" s="994"/>
      <c r="LBQ3" s="994"/>
      <c r="LBR3" s="994"/>
      <c r="LBS3" s="994"/>
      <c r="LBT3" s="994"/>
      <c r="LBU3" s="994"/>
      <c r="LBV3" s="994"/>
      <c r="LBW3" s="994"/>
      <c r="LBX3" s="994"/>
      <c r="LBY3" s="994"/>
      <c r="LBZ3" s="994"/>
      <c r="LCA3" s="994"/>
      <c r="LCB3" s="994"/>
      <c r="LCC3" s="994"/>
      <c r="LCD3" s="994"/>
      <c r="LCE3" s="994"/>
      <c r="LCF3" s="994"/>
      <c r="LCG3" s="994"/>
      <c r="LCH3" s="994"/>
      <c r="LCI3" s="994"/>
      <c r="LCJ3" s="994"/>
      <c r="LCK3" s="994"/>
      <c r="LCL3" s="994"/>
      <c r="LCM3" s="994"/>
      <c r="LCN3" s="994"/>
      <c r="LCO3" s="994"/>
      <c r="LCP3" s="994"/>
      <c r="LCQ3" s="994"/>
      <c r="LCR3" s="994"/>
      <c r="LCS3" s="994"/>
      <c r="LCT3" s="994"/>
      <c r="LCU3" s="994"/>
      <c r="LCV3" s="994"/>
      <c r="LCW3" s="994"/>
      <c r="LCX3" s="994"/>
      <c r="LCY3" s="994"/>
      <c r="LCZ3" s="994"/>
      <c r="LDA3" s="994"/>
      <c r="LDB3" s="994"/>
      <c r="LDC3" s="994"/>
      <c r="LDD3" s="994"/>
      <c r="LDE3" s="994"/>
      <c r="LDF3" s="994"/>
      <c r="LDG3" s="994"/>
      <c r="LDH3" s="994"/>
      <c r="LDI3" s="994"/>
      <c r="LDJ3" s="994"/>
      <c r="LDK3" s="994"/>
      <c r="LDL3" s="994"/>
      <c r="LDM3" s="994"/>
      <c r="LDN3" s="994"/>
      <c r="LDO3" s="994"/>
      <c r="LDP3" s="994"/>
      <c r="LDQ3" s="994"/>
      <c r="LDR3" s="994"/>
      <c r="LDS3" s="994"/>
      <c r="LDT3" s="994"/>
      <c r="LDU3" s="994"/>
      <c r="LDV3" s="994"/>
      <c r="LDW3" s="994"/>
      <c r="LDX3" s="994"/>
      <c r="LDY3" s="994"/>
      <c r="LDZ3" s="994"/>
      <c r="LEA3" s="994"/>
      <c r="LEB3" s="994"/>
      <c r="LEC3" s="994"/>
      <c r="LED3" s="994"/>
      <c r="LEE3" s="994"/>
      <c r="LEF3" s="994"/>
      <c r="LEG3" s="994"/>
      <c r="LEH3" s="994"/>
      <c r="LEI3" s="994"/>
      <c r="LEJ3" s="994"/>
      <c r="LEK3" s="994"/>
      <c r="LEL3" s="994"/>
      <c r="LEM3" s="994"/>
      <c r="LEN3" s="994"/>
      <c r="LEO3" s="994"/>
      <c r="LEP3" s="994"/>
      <c r="LEQ3" s="994"/>
      <c r="LER3" s="994"/>
      <c r="LES3" s="994"/>
      <c r="LET3" s="994"/>
      <c r="LEU3" s="994"/>
      <c r="LEV3" s="994"/>
      <c r="LEW3" s="994"/>
      <c r="LEX3" s="994"/>
      <c r="LEY3" s="994"/>
      <c r="LEZ3" s="994"/>
      <c r="LFA3" s="994"/>
      <c r="LFB3" s="994"/>
      <c r="LFC3" s="994"/>
      <c r="LFD3" s="994"/>
      <c r="LFE3" s="994"/>
      <c r="LFF3" s="994"/>
      <c r="LFG3" s="994"/>
      <c r="LFH3" s="994"/>
      <c r="LFI3" s="994"/>
      <c r="LFJ3" s="994"/>
      <c r="LFK3" s="994"/>
      <c r="LFL3" s="994"/>
      <c r="LFM3" s="994"/>
      <c r="LFN3" s="994"/>
      <c r="LFO3" s="994"/>
      <c r="LFP3" s="994"/>
      <c r="LFQ3" s="994"/>
      <c r="LFR3" s="994"/>
      <c r="LFS3" s="994"/>
      <c r="LFT3" s="994"/>
      <c r="LFU3" s="994"/>
      <c r="LFV3" s="994"/>
      <c r="LFW3" s="994"/>
      <c r="LFX3" s="994"/>
      <c r="LFY3" s="994"/>
      <c r="LFZ3" s="994"/>
      <c r="LGA3" s="994"/>
      <c r="LGB3" s="994"/>
      <c r="LGC3" s="994"/>
      <c r="LGD3" s="994"/>
      <c r="LGE3" s="994"/>
      <c r="LGF3" s="994"/>
      <c r="LGG3" s="994"/>
      <c r="LGH3" s="994"/>
      <c r="LGI3" s="994"/>
      <c r="LGJ3" s="994"/>
      <c r="LGK3" s="994"/>
      <c r="LGL3" s="994"/>
      <c r="LGM3" s="994"/>
      <c r="LGN3" s="994"/>
      <c r="LGO3" s="994"/>
      <c r="LGP3" s="994"/>
      <c r="LGQ3" s="994"/>
      <c r="LGR3" s="994"/>
      <c r="LGS3" s="994"/>
      <c r="LGT3" s="994"/>
      <c r="LGU3" s="994"/>
      <c r="LGV3" s="994"/>
      <c r="LGW3" s="994"/>
      <c r="LGX3" s="994"/>
      <c r="LGY3" s="994"/>
      <c r="LGZ3" s="994"/>
      <c r="LHA3" s="994"/>
      <c r="LHB3" s="994"/>
      <c r="LHC3" s="994"/>
      <c r="LHD3" s="994"/>
      <c r="LHE3" s="994"/>
      <c r="LHF3" s="994"/>
      <c r="LHG3" s="994"/>
      <c r="LHH3" s="994"/>
      <c r="LHI3" s="994"/>
      <c r="LHJ3" s="994"/>
      <c r="LHK3" s="994"/>
      <c r="LHL3" s="994"/>
      <c r="LHM3" s="994"/>
      <c r="LHN3" s="994"/>
      <c r="LHO3" s="994"/>
      <c r="LHP3" s="994"/>
      <c r="LHQ3" s="994"/>
      <c r="LHR3" s="994"/>
      <c r="LHS3" s="994"/>
      <c r="LHT3" s="994"/>
      <c r="LHU3" s="994"/>
      <c r="LHV3" s="994"/>
      <c r="LHW3" s="994"/>
      <c r="LHX3" s="994"/>
      <c r="LHY3" s="994"/>
      <c r="LHZ3" s="994"/>
      <c r="LIA3" s="994"/>
      <c r="LIB3" s="994"/>
      <c r="LIC3" s="994"/>
      <c r="LID3" s="994"/>
      <c r="LIE3" s="994"/>
      <c r="LIF3" s="994"/>
      <c r="LIG3" s="994"/>
      <c r="LIH3" s="994"/>
      <c r="LII3" s="994"/>
      <c r="LIJ3" s="994"/>
      <c r="LIK3" s="994"/>
      <c r="LIL3" s="994"/>
      <c r="LIM3" s="994"/>
      <c r="LIN3" s="994"/>
      <c r="LIO3" s="994"/>
      <c r="LIP3" s="994"/>
      <c r="LIQ3" s="994"/>
      <c r="LIR3" s="994"/>
      <c r="LIS3" s="994"/>
      <c r="LIT3" s="994"/>
      <c r="LIU3" s="994"/>
      <c r="LIV3" s="994"/>
      <c r="LIW3" s="994"/>
      <c r="LIX3" s="994"/>
      <c r="LIY3" s="994"/>
      <c r="LIZ3" s="994"/>
      <c r="LJA3" s="994"/>
      <c r="LJB3" s="994"/>
      <c r="LJC3" s="994"/>
      <c r="LJD3" s="994"/>
      <c r="LJE3" s="994"/>
      <c r="LJF3" s="994"/>
      <c r="LJG3" s="994"/>
      <c r="LJH3" s="994"/>
      <c r="LJI3" s="994"/>
      <c r="LJJ3" s="994"/>
      <c r="LJK3" s="994"/>
      <c r="LJL3" s="994"/>
      <c r="LJM3" s="994"/>
      <c r="LJN3" s="994"/>
      <c r="LJO3" s="994"/>
      <c r="LJP3" s="994"/>
      <c r="LJQ3" s="994"/>
      <c r="LJR3" s="994"/>
      <c r="LJS3" s="994"/>
      <c r="LJT3" s="994"/>
      <c r="LJU3" s="994"/>
      <c r="LJV3" s="994"/>
      <c r="LJW3" s="994"/>
      <c r="LJX3" s="994"/>
      <c r="LJY3" s="994"/>
      <c r="LJZ3" s="994"/>
      <c r="LKA3" s="994"/>
      <c r="LKB3" s="994"/>
      <c r="LKC3" s="994"/>
      <c r="LKD3" s="994"/>
      <c r="LKE3" s="994"/>
      <c r="LKF3" s="994"/>
      <c r="LKG3" s="994"/>
      <c r="LKH3" s="994"/>
      <c r="LKI3" s="994"/>
      <c r="LKJ3" s="994"/>
      <c r="LKK3" s="994"/>
      <c r="LKL3" s="994"/>
      <c r="LKM3" s="994"/>
      <c r="LKN3" s="994"/>
      <c r="LKO3" s="994"/>
      <c r="LKP3" s="994"/>
      <c r="LKQ3" s="994"/>
      <c r="LKR3" s="994"/>
      <c r="LKS3" s="994"/>
      <c r="LKT3" s="994"/>
      <c r="LKU3" s="994"/>
      <c r="LKV3" s="994"/>
      <c r="LKW3" s="994"/>
      <c r="LKX3" s="994"/>
      <c r="LKY3" s="994"/>
      <c r="LKZ3" s="994"/>
      <c r="LLA3" s="994"/>
      <c r="LLB3" s="994"/>
      <c r="LLC3" s="994"/>
      <c r="LLD3" s="994"/>
      <c r="LLE3" s="994"/>
      <c r="LLF3" s="994"/>
      <c r="LLG3" s="994"/>
      <c r="LLH3" s="994"/>
      <c r="LLI3" s="994"/>
      <c r="LLJ3" s="994"/>
      <c r="LLK3" s="994"/>
      <c r="LLL3" s="994"/>
      <c r="LLM3" s="994"/>
      <c r="LLN3" s="994"/>
      <c r="LLO3" s="994"/>
      <c r="LLP3" s="994"/>
      <c r="LLQ3" s="994"/>
      <c r="LLR3" s="994"/>
      <c r="LLS3" s="994"/>
      <c r="LLT3" s="994"/>
      <c r="LLU3" s="994"/>
      <c r="LLV3" s="994"/>
      <c r="LLW3" s="994"/>
      <c r="LLX3" s="994"/>
      <c r="LLY3" s="994"/>
      <c r="LLZ3" s="994"/>
      <c r="LMA3" s="994"/>
      <c r="LMB3" s="994"/>
      <c r="LMC3" s="994"/>
      <c r="LMD3" s="994"/>
      <c r="LME3" s="994"/>
      <c r="LMF3" s="994"/>
      <c r="LMG3" s="994"/>
      <c r="LMH3" s="994"/>
      <c r="LMI3" s="994"/>
      <c r="LMJ3" s="994"/>
      <c r="LMK3" s="994"/>
      <c r="LML3" s="994"/>
      <c r="LMM3" s="994"/>
      <c r="LMN3" s="994"/>
      <c r="LMO3" s="994"/>
      <c r="LMP3" s="994"/>
      <c r="LMQ3" s="994"/>
      <c r="LMR3" s="994"/>
      <c r="LMS3" s="994"/>
      <c r="LMT3" s="994"/>
      <c r="LMU3" s="994"/>
      <c r="LMV3" s="994"/>
      <c r="LMW3" s="994"/>
      <c r="LMX3" s="994"/>
      <c r="LMY3" s="994"/>
      <c r="LMZ3" s="994"/>
      <c r="LNA3" s="994"/>
      <c r="LNB3" s="994"/>
      <c r="LNC3" s="994"/>
      <c r="LND3" s="994"/>
      <c r="LNE3" s="994"/>
      <c r="LNF3" s="994"/>
      <c r="LNG3" s="994"/>
      <c r="LNH3" s="994"/>
      <c r="LNI3" s="994"/>
      <c r="LNJ3" s="994"/>
      <c r="LNK3" s="994"/>
      <c r="LNL3" s="994"/>
      <c r="LNM3" s="994"/>
      <c r="LNN3" s="994"/>
      <c r="LNO3" s="994"/>
      <c r="LNP3" s="994"/>
      <c r="LNQ3" s="994"/>
      <c r="LNR3" s="994"/>
      <c r="LNS3" s="994"/>
      <c r="LNT3" s="994"/>
      <c r="LNU3" s="994"/>
      <c r="LNV3" s="994"/>
      <c r="LNW3" s="994"/>
      <c r="LNX3" s="994"/>
      <c r="LNY3" s="994"/>
      <c r="LNZ3" s="994"/>
      <c r="LOA3" s="994"/>
      <c r="LOB3" s="994"/>
      <c r="LOC3" s="994"/>
      <c r="LOD3" s="994"/>
      <c r="LOE3" s="994"/>
      <c r="LOF3" s="994"/>
      <c r="LOG3" s="994"/>
      <c r="LOH3" s="994"/>
      <c r="LOI3" s="994"/>
      <c r="LOJ3" s="994"/>
      <c r="LOK3" s="994"/>
      <c r="LOL3" s="994"/>
      <c r="LOM3" s="994"/>
      <c r="LON3" s="994"/>
      <c r="LOO3" s="994"/>
      <c r="LOP3" s="994"/>
      <c r="LOQ3" s="994"/>
      <c r="LOR3" s="994"/>
      <c r="LOS3" s="994"/>
      <c r="LOT3" s="994"/>
      <c r="LOU3" s="994"/>
      <c r="LOV3" s="994"/>
      <c r="LOW3" s="994"/>
      <c r="LOX3" s="994"/>
      <c r="LOY3" s="994"/>
      <c r="LOZ3" s="994"/>
      <c r="LPA3" s="994"/>
      <c r="LPB3" s="994"/>
      <c r="LPC3" s="994"/>
      <c r="LPD3" s="994"/>
      <c r="LPE3" s="994"/>
      <c r="LPF3" s="994"/>
      <c r="LPG3" s="994"/>
      <c r="LPH3" s="994"/>
      <c r="LPI3" s="994"/>
      <c r="LPJ3" s="994"/>
      <c r="LPK3" s="994"/>
      <c r="LPL3" s="994"/>
      <c r="LPM3" s="994"/>
      <c r="LPN3" s="994"/>
      <c r="LPO3" s="994"/>
      <c r="LPP3" s="994"/>
      <c r="LPQ3" s="994"/>
      <c r="LPR3" s="994"/>
      <c r="LPS3" s="994"/>
      <c r="LPT3" s="994"/>
      <c r="LPU3" s="994"/>
      <c r="LPV3" s="994"/>
      <c r="LPW3" s="994"/>
      <c r="LPX3" s="994"/>
      <c r="LPY3" s="994"/>
      <c r="LPZ3" s="994"/>
      <c r="LQA3" s="994"/>
      <c r="LQB3" s="994"/>
      <c r="LQC3" s="994"/>
      <c r="LQD3" s="994"/>
      <c r="LQE3" s="994"/>
      <c r="LQF3" s="994"/>
      <c r="LQG3" s="994"/>
      <c r="LQH3" s="994"/>
      <c r="LQI3" s="994"/>
      <c r="LQJ3" s="994"/>
      <c r="LQK3" s="994"/>
      <c r="LQL3" s="994"/>
      <c r="LQM3" s="994"/>
      <c r="LQN3" s="994"/>
      <c r="LQO3" s="994"/>
      <c r="LQP3" s="994"/>
      <c r="LQQ3" s="994"/>
      <c r="LQR3" s="994"/>
      <c r="LQS3" s="994"/>
      <c r="LQT3" s="994"/>
      <c r="LQU3" s="994"/>
      <c r="LQV3" s="994"/>
      <c r="LQW3" s="994"/>
      <c r="LQX3" s="994"/>
      <c r="LQY3" s="994"/>
      <c r="LQZ3" s="994"/>
      <c r="LRA3" s="994"/>
      <c r="LRB3" s="994"/>
      <c r="LRC3" s="994"/>
      <c r="LRD3" s="994"/>
      <c r="LRE3" s="994"/>
      <c r="LRF3" s="994"/>
      <c r="LRG3" s="994"/>
      <c r="LRH3" s="994"/>
      <c r="LRI3" s="994"/>
      <c r="LRJ3" s="994"/>
      <c r="LRK3" s="994"/>
      <c r="LRL3" s="994"/>
      <c r="LRM3" s="994"/>
      <c r="LRN3" s="994"/>
      <c r="LRO3" s="994"/>
      <c r="LRP3" s="994"/>
      <c r="LRQ3" s="994"/>
      <c r="LRR3" s="994"/>
      <c r="LRS3" s="994"/>
      <c r="LRT3" s="994"/>
      <c r="LRU3" s="994"/>
      <c r="LRV3" s="994"/>
      <c r="LRW3" s="994"/>
      <c r="LRX3" s="994"/>
      <c r="LRY3" s="994"/>
      <c r="LRZ3" s="994"/>
      <c r="LSA3" s="994"/>
      <c r="LSB3" s="994"/>
      <c r="LSC3" s="994"/>
      <c r="LSD3" s="994"/>
      <c r="LSE3" s="994"/>
      <c r="LSF3" s="994"/>
      <c r="LSG3" s="994"/>
      <c r="LSH3" s="994"/>
      <c r="LSI3" s="994"/>
      <c r="LSJ3" s="994"/>
      <c r="LSK3" s="994"/>
      <c r="LSL3" s="994"/>
      <c r="LSM3" s="994"/>
      <c r="LSN3" s="994"/>
      <c r="LSO3" s="994"/>
      <c r="LSP3" s="994"/>
      <c r="LSQ3" s="994"/>
      <c r="LSR3" s="994"/>
      <c r="LSS3" s="994"/>
      <c r="LST3" s="994"/>
      <c r="LSU3" s="994"/>
      <c r="LSV3" s="994"/>
      <c r="LSW3" s="994"/>
      <c r="LSX3" s="994"/>
      <c r="LSY3" s="994"/>
      <c r="LSZ3" s="994"/>
      <c r="LTA3" s="994"/>
      <c r="LTB3" s="994"/>
      <c r="LTC3" s="994"/>
      <c r="LTD3" s="994"/>
      <c r="LTE3" s="994"/>
      <c r="LTF3" s="994"/>
      <c r="LTG3" s="994"/>
      <c r="LTH3" s="994"/>
      <c r="LTI3" s="994"/>
      <c r="LTJ3" s="994"/>
      <c r="LTK3" s="994"/>
      <c r="LTL3" s="994"/>
      <c r="LTM3" s="994"/>
      <c r="LTN3" s="994"/>
      <c r="LTO3" s="994"/>
      <c r="LTP3" s="994"/>
      <c r="LTQ3" s="994"/>
      <c r="LTR3" s="994"/>
      <c r="LTS3" s="994"/>
      <c r="LTT3" s="994"/>
      <c r="LTU3" s="994"/>
      <c r="LTV3" s="994"/>
      <c r="LTW3" s="994"/>
      <c r="LTX3" s="994"/>
      <c r="LTY3" s="994"/>
      <c r="LTZ3" s="994"/>
      <c r="LUA3" s="994"/>
      <c r="LUB3" s="994"/>
      <c r="LUC3" s="994"/>
      <c r="LUD3" s="994"/>
      <c r="LUE3" s="994"/>
      <c r="LUF3" s="994"/>
      <c r="LUG3" s="994"/>
      <c r="LUH3" s="994"/>
      <c r="LUI3" s="994"/>
      <c r="LUJ3" s="994"/>
      <c r="LUK3" s="994"/>
      <c r="LUL3" s="994"/>
      <c r="LUM3" s="994"/>
      <c r="LUN3" s="994"/>
      <c r="LUO3" s="994"/>
      <c r="LUP3" s="994"/>
      <c r="LUQ3" s="994"/>
      <c r="LUR3" s="994"/>
      <c r="LUS3" s="994"/>
      <c r="LUT3" s="994"/>
      <c r="LUU3" s="994"/>
      <c r="LUV3" s="994"/>
      <c r="LUW3" s="994"/>
      <c r="LUX3" s="994"/>
      <c r="LUY3" s="994"/>
      <c r="LUZ3" s="994"/>
      <c r="LVA3" s="994"/>
      <c r="LVB3" s="994"/>
      <c r="LVC3" s="994"/>
      <c r="LVD3" s="994"/>
      <c r="LVE3" s="994"/>
      <c r="LVF3" s="994"/>
      <c r="LVG3" s="994"/>
      <c r="LVH3" s="994"/>
      <c r="LVI3" s="994"/>
      <c r="LVJ3" s="994"/>
      <c r="LVK3" s="994"/>
      <c r="LVL3" s="994"/>
      <c r="LVM3" s="994"/>
      <c r="LVN3" s="994"/>
      <c r="LVO3" s="994"/>
      <c r="LVP3" s="994"/>
      <c r="LVQ3" s="994"/>
      <c r="LVR3" s="994"/>
      <c r="LVS3" s="994"/>
      <c r="LVT3" s="994"/>
      <c r="LVU3" s="994"/>
      <c r="LVV3" s="994"/>
      <c r="LVW3" s="994"/>
      <c r="LVX3" s="994"/>
      <c r="LVY3" s="994"/>
      <c r="LVZ3" s="994"/>
      <c r="LWA3" s="994"/>
      <c r="LWB3" s="994"/>
      <c r="LWC3" s="994"/>
      <c r="LWD3" s="994"/>
      <c r="LWE3" s="994"/>
      <c r="LWF3" s="994"/>
      <c r="LWG3" s="994"/>
      <c r="LWH3" s="994"/>
      <c r="LWI3" s="994"/>
      <c r="LWJ3" s="994"/>
      <c r="LWK3" s="994"/>
      <c r="LWL3" s="994"/>
      <c r="LWM3" s="994"/>
      <c r="LWN3" s="994"/>
      <c r="LWO3" s="994"/>
      <c r="LWP3" s="994"/>
      <c r="LWQ3" s="994"/>
      <c r="LWR3" s="994"/>
      <c r="LWS3" s="994"/>
      <c r="LWT3" s="994"/>
      <c r="LWU3" s="994"/>
      <c r="LWV3" s="994"/>
      <c r="LWW3" s="994"/>
      <c r="LWX3" s="994"/>
      <c r="LWY3" s="994"/>
      <c r="LWZ3" s="994"/>
      <c r="LXA3" s="994"/>
      <c r="LXB3" s="994"/>
      <c r="LXC3" s="994"/>
      <c r="LXD3" s="994"/>
      <c r="LXE3" s="994"/>
      <c r="LXF3" s="994"/>
      <c r="LXG3" s="994"/>
      <c r="LXH3" s="994"/>
      <c r="LXI3" s="994"/>
      <c r="LXJ3" s="994"/>
      <c r="LXK3" s="994"/>
      <c r="LXL3" s="994"/>
      <c r="LXM3" s="994"/>
      <c r="LXN3" s="994"/>
      <c r="LXO3" s="994"/>
      <c r="LXP3" s="994"/>
      <c r="LXQ3" s="994"/>
      <c r="LXR3" s="994"/>
      <c r="LXS3" s="994"/>
      <c r="LXT3" s="994"/>
      <c r="LXU3" s="994"/>
      <c r="LXV3" s="994"/>
      <c r="LXW3" s="994"/>
      <c r="LXX3" s="994"/>
      <c r="LXY3" s="994"/>
      <c r="LXZ3" s="994"/>
      <c r="LYA3" s="994"/>
      <c r="LYB3" s="994"/>
      <c r="LYC3" s="994"/>
      <c r="LYD3" s="994"/>
      <c r="LYE3" s="994"/>
      <c r="LYF3" s="994"/>
      <c r="LYG3" s="994"/>
      <c r="LYH3" s="994"/>
      <c r="LYI3" s="994"/>
      <c r="LYJ3" s="994"/>
      <c r="LYK3" s="994"/>
      <c r="LYL3" s="994"/>
      <c r="LYM3" s="994"/>
      <c r="LYN3" s="994"/>
      <c r="LYO3" s="994"/>
      <c r="LYP3" s="994"/>
      <c r="LYQ3" s="994"/>
      <c r="LYR3" s="994"/>
      <c r="LYS3" s="994"/>
      <c r="LYT3" s="994"/>
      <c r="LYU3" s="994"/>
      <c r="LYV3" s="994"/>
      <c r="LYW3" s="994"/>
      <c r="LYX3" s="994"/>
      <c r="LYY3" s="994"/>
      <c r="LYZ3" s="994"/>
      <c r="LZA3" s="994"/>
      <c r="LZB3" s="994"/>
      <c r="LZC3" s="994"/>
      <c r="LZD3" s="994"/>
      <c r="LZE3" s="994"/>
      <c r="LZF3" s="994"/>
      <c r="LZG3" s="994"/>
      <c r="LZH3" s="994"/>
      <c r="LZI3" s="994"/>
      <c r="LZJ3" s="994"/>
      <c r="LZK3" s="994"/>
      <c r="LZL3" s="994"/>
      <c r="LZM3" s="994"/>
      <c r="LZN3" s="994"/>
      <c r="LZO3" s="994"/>
      <c r="LZP3" s="994"/>
      <c r="LZQ3" s="994"/>
      <c r="LZR3" s="994"/>
      <c r="LZS3" s="994"/>
      <c r="LZT3" s="994"/>
      <c r="LZU3" s="994"/>
      <c r="LZV3" s="994"/>
      <c r="LZW3" s="994"/>
      <c r="LZX3" s="994"/>
      <c r="LZY3" s="994"/>
      <c r="LZZ3" s="994"/>
      <c r="MAA3" s="994"/>
      <c r="MAB3" s="994"/>
      <c r="MAC3" s="994"/>
      <c r="MAD3" s="994"/>
      <c r="MAE3" s="994"/>
      <c r="MAF3" s="994"/>
      <c r="MAG3" s="994"/>
      <c r="MAH3" s="994"/>
      <c r="MAI3" s="994"/>
      <c r="MAJ3" s="994"/>
      <c r="MAK3" s="994"/>
      <c r="MAL3" s="994"/>
      <c r="MAM3" s="994"/>
      <c r="MAN3" s="994"/>
      <c r="MAO3" s="994"/>
      <c r="MAP3" s="994"/>
      <c r="MAQ3" s="994"/>
      <c r="MAR3" s="994"/>
      <c r="MAS3" s="994"/>
      <c r="MAT3" s="994"/>
      <c r="MAU3" s="994"/>
      <c r="MAV3" s="994"/>
      <c r="MAW3" s="994"/>
      <c r="MAX3" s="994"/>
      <c r="MAY3" s="994"/>
      <c r="MAZ3" s="994"/>
      <c r="MBA3" s="994"/>
      <c r="MBB3" s="994"/>
      <c r="MBC3" s="994"/>
      <c r="MBD3" s="994"/>
      <c r="MBE3" s="994"/>
      <c r="MBF3" s="994"/>
      <c r="MBG3" s="994"/>
      <c r="MBH3" s="994"/>
      <c r="MBI3" s="994"/>
      <c r="MBJ3" s="994"/>
      <c r="MBK3" s="994"/>
      <c r="MBL3" s="994"/>
      <c r="MBM3" s="994"/>
      <c r="MBN3" s="994"/>
      <c r="MBO3" s="994"/>
      <c r="MBP3" s="994"/>
      <c r="MBQ3" s="994"/>
      <c r="MBR3" s="994"/>
      <c r="MBS3" s="994"/>
      <c r="MBT3" s="994"/>
      <c r="MBU3" s="994"/>
      <c r="MBV3" s="994"/>
      <c r="MBW3" s="994"/>
      <c r="MBX3" s="994"/>
      <c r="MBY3" s="994"/>
      <c r="MBZ3" s="994"/>
      <c r="MCA3" s="994"/>
      <c r="MCB3" s="994"/>
      <c r="MCC3" s="994"/>
      <c r="MCD3" s="994"/>
      <c r="MCE3" s="994"/>
      <c r="MCF3" s="994"/>
      <c r="MCG3" s="994"/>
      <c r="MCH3" s="994"/>
      <c r="MCI3" s="994"/>
      <c r="MCJ3" s="994"/>
      <c r="MCK3" s="994"/>
      <c r="MCL3" s="994"/>
      <c r="MCM3" s="994"/>
      <c r="MCN3" s="994"/>
      <c r="MCO3" s="994"/>
      <c r="MCP3" s="994"/>
      <c r="MCQ3" s="994"/>
      <c r="MCR3" s="994"/>
      <c r="MCS3" s="994"/>
      <c r="MCT3" s="994"/>
      <c r="MCU3" s="994"/>
      <c r="MCV3" s="994"/>
      <c r="MCW3" s="994"/>
      <c r="MCX3" s="994"/>
      <c r="MCY3" s="994"/>
      <c r="MCZ3" s="994"/>
      <c r="MDA3" s="994"/>
      <c r="MDB3" s="994"/>
      <c r="MDC3" s="994"/>
      <c r="MDD3" s="994"/>
      <c r="MDE3" s="994"/>
      <c r="MDF3" s="994"/>
      <c r="MDG3" s="994"/>
      <c r="MDH3" s="994"/>
      <c r="MDI3" s="994"/>
      <c r="MDJ3" s="994"/>
      <c r="MDK3" s="994"/>
      <c r="MDL3" s="994"/>
      <c r="MDM3" s="994"/>
      <c r="MDN3" s="994"/>
      <c r="MDO3" s="994"/>
      <c r="MDP3" s="994"/>
      <c r="MDQ3" s="994"/>
      <c r="MDR3" s="994"/>
      <c r="MDS3" s="994"/>
      <c r="MDT3" s="994"/>
      <c r="MDU3" s="994"/>
      <c r="MDV3" s="994"/>
      <c r="MDW3" s="994"/>
      <c r="MDX3" s="994"/>
      <c r="MDY3" s="994"/>
      <c r="MDZ3" s="994"/>
      <c r="MEA3" s="994"/>
      <c r="MEB3" s="994"/>
      <c r="MEC3" s="994"/>
      <c r="MED3" s="994"/>
      <c r="MEE3" s="994"/>
      <c r="MEF3" s="994"/>
      <c r="MEG3" s="994"/>
      <c r="MEH3" s="994"/>
      <c r="MEI3" s="994"/>
      <c r="MEJ3" s="994"/>
      <c r="MEK3" s="994"/>
      <c r="MEL3" s="994"/>
      <c r="MEM3" s="994"/>
      <c r="MEN3" s="994"/>
      <c r="MEO3" s="994"/>
      <c r="MEP3" s="994"/>
      <c r="MEQ3" s="994"/>
      <c r="MER3" s="994"/>
      <c r="MES3" s="994"/>
      <c r="MET3" s="994"/>
      <c r="MEU3" s="994"/>
      <c r="MEV3" s="994"/>
      <c r="MEW3" s="994"/>
      <c r="MEX3" s="994"/>
      <c r="MEY3" s="994"/>
      <c r="MEZ3" s="994"/>
      <c r="MFA3" s="994"/>
      <c r="MFB3" s="994"/>
      <c r="MFC3" s="994"/>
      <c r="MFD3" s="994"/>
      <c r="MFE3" s="994"/>
      <c r="MFF3" s="994"/>
      <c r="MFG3" s="994"/>
      <c r="MFH3" s="994"/>
      <c r="MFI3" s="994"/>
      <c r="MFJ3" s="994"/>
      <c r="MFK3" s="994"/>
      <c r="MFL3" s="994"/>
      <c r="MFM3" s="994"/>
      <c r="MFN3" s="994"/>
      <c r="MFO3" s="994"/>
      <c r="MFP3" s="994"/>
      <c r="MFQ3" s="994"/>
      <c r="MFR3" s="994"/>
      <c r="MFS3" s="994"/>
      <c r="MFT3" s="994"/>
      <c r="MFU3" s="994"/>
      <c r="MFV3" s="994"/>
      <c r="MFW3" s="994"/>
      <c r="MFX3" s="994"/>
      <c r="MFY3" s="994"/>
      <c r="MFZ3" s="994"/>
      <c r="MGA3" s="994"/>
      <c r="MGB3" s="994"/>
      <c r="MGC3" s="994"/>
      <c r="MGD3" s="994"/>
      <c r="MGE3" s="994"/>
      <c r="MGF3" s="994"/>
      <c r="MGG3" s="994"/>
      <c r="MGH3" s="994"/>
      <c r="MGI3" s="994"/>
      <c r="MGJ3" s="994"/>
      <c r="MGK3" s="994"/>
      <c r="MGL3" s="994"/>
      <c r="MGM3" s="994"/>
      <c r="MGN3" s="994"/>
      <c r="MGO3" s="994"/>
      <c r="MGP3" s="994"/>
      <c r="MGQ3" s="994"/>
      <c r="MGR3" s="994"/>
      <c r="MGS3" s="994"/>
      <c r="MGT3" s="994"/>
      <c r="MGU3" s="994"/>
      <c r="MGV3" s="994"/>
      <c r="MGW3" s="994"/>
      <c r="MGX3" s="994"/>
      <c r="MGY3" s="994"/>
      <c r="MGZ3" s="994"/>
      <c r="MHA3" s="994"/>
      <c r="MHB3" s="994"/>
      <c r="MHC3" s="994"/>
      <c r="MHD3" s="994"/>
      <c r="MHE3" s="994"/>
      <c r="MHF3" s="994"/>
      <c r="MHG3" s="994"/>
      <c r="MHH3" s="994"/>
      <c r="MHI3" s="994"/>
      <c r="MHJ3" s="994"/>
      <c r="MHK3" s="994"/>
      <c r="MHL3" s="994"/>
      <c r="MHM3" s="994"/>
      <c r="MHN3" s="994"/>
      <c r="MHO3" s="994"/>
      <c r="MHP3" s="994"/>
      <c r="MHQ3" s="994"/>
      <c r="MHR3" s="994"/>
      <c r="MHS3" s="994"/>
      <c r="MHT3" s="994"/>
      <c r="MHU3" s="994"/>
      <c r="MHV3" s="994"/>
      <c r="MHW3" s="994"/>
      <c r="MHX3" s="994"/>
      <c r="MHY3" s="994"/>
      <c r="MHZ3" s="994"/>
      <c r="MIA3" s="994"/>
      <c r="MIB3" s="994"/>
      <c r="MIC3" s="994"/>
      <c r="MID3" s="994"/>
      <c r="MIE3" s="994"/>
      <c r="MIF3" s="994"/>
      <c r="MIG3" s="994"/>
      <c r="MIH3" s="994"/>
      <c r="MII3" s="994"/>
      <c r="MIJ3" s="994"/>
      <c r="MIK3" s="994"/>
      <c r="MIL3" s="994"/>
      <c r="MIM3" s="994"/>
      <c r="MIN3" s="994"/>
      <c r="MIO3" s="994"/>
      <c r="MIP3" s="994"/>
      <c r="MIQ3" s="994"/>
      <c r="MIR3" s="994"/>
      <c r="MIS3" s="994"/>
      <c r="MIT3" s="994"/>
      <c r="MIU3" s="994"/>
      <c r="MIV3" s="994"/>
      <c r="MIW3" s="994"/>
      <c r="MIX3" s="994"/>
      <c r="MIY3" s="994"/>
      <c r="MIZ3" s="994"/>
      <c r="MJA3" s="994"/>
      <c r="MJB3" s="994"/>
      <c r="MJC3" s="994"/>
      <c r="MJD3" s="994"/>
      <c r="MJE3" s="994"/>
      <c r="MJF3" s="994"/>
      <c r="MJG3" s="994"/>
      <c r="MJH3" s="994"/>
      <c r="MJI3" s="994"/>
      <c r="MJJ3" s="994"/>
      <c r="MJK3" s="994"/>
      <c r="MJL3" s="994"/>
      <c r="MJM3" s="994"/>
      <c r="MJN3" s="994"/>
      <c r="MJO3" s="994"/>
      <c r="MJP3" s="994"/>
      <c r="MJQ3" s="994"/>
      <c r="MJR3" s="994"/>
      <c r="MJS3" s="994"/>
      <c r="MJT3" s="994"/>
      <c r="MJU3" s="994"/>
      <c r="MJV3" s="994"/>
      <c r="MJW3" s="994"/>
      <c r="MJX3" s="994"/>
      <c r="MJY3" s="994"/>
      <c r="MJZ3" s="994"/>
      <c r="MKA3" s="994"/>
      <c r="MKB3" s="994"/>
      <c r="MKC3" s="994"/>
      <c r="MKD3" s="994"/>
      <c r="MKE3" s="994"/>
      <c r="MKF3" s="994"/>
      <c r="MKG3" s="994"/>
      <c r="MKH3" s="994"/>
      <c r="MKI3" s="994"/>
      <c r="MKJ3" s="994"/>
      <c r="MKK3" s="994"/>
      <c r="MKL3" s="994"/>
      <c r="MKM3" s="994"/>
      <c r="MKN3" s="994"/>
      <c r="MKO3" s="994"/>
      <c r="MKP3" s="994"/>
      <c r="MKQ3" s="994"/>
      <c r="MKR3" s="994"/>
      <c r="MKS3" s="994"/>
      <c r="MKT3" s="994"/>
      <c r="MKU3" s="994"/>
      <c r="MKV3" s="994"/>
      <c r="MKW3" s="994"/>
      <c r="MKX3" s="994"/>
      <c r="MKY3" s="994"/>
      <c r="MKZ3" s="994"/>
      <c r="MLA3" s="994"/>
      <c r="MLB3" s="994"/>
      <c r="MLC3" s="994"/>
      <c r="MLD3" s="994"/>
      <c r="MLE3" s="994"/>
      <c r="MLF3" s="994"/>
      <c r="MLG3" s="994"/>
      <c r="MLH3" s="994"/>
      <c r="MLI3" s="994"/>
      <c r="MLJ3" s="994"/>
      <c r="MLK3" s="994"/>
      <c r="MLL3" s="994"/>
      <c r="MLM3" s="994"/>
      <c r="MLN3" s="994"/>
      <c r="MLO3" s="994"/>
      <c r="MLP3" s="994"/>
      <c r="MLQ3" s="994"/>
      <c r="MLR3" s="994"/>
      <c r="MLS3" s="994"/>
      <c r="MLT3" s="994"/>
      <c r="MLU3" s="994"/>
      <c r="MLV3" s="994"/>
      <c r="MLW3" s="994"/>
      <c r="MLX3" s="994"/>
      <c r="MLY3" s="994"/>
      <c r="MLZ3" s="994"/>
      <c r="MMA3" s="994"/>
      <c r="MMB3" s="994"/>
      <c r="MMC3" s="994"/>
      <c r="MMD3" s="994"/>
      <c r="MME3" s="994"/>
      <c r="MMF3" s="994"/>
      <c r="MMG3" s="994"/>
      <c r="MMH3" s="994"/>
      <c r="MMI3" s="994"/>
      <c r="MMJ3" s="994"/>
      <c r="MMK3" s="994"/>
      <c r="MML3" s="994"/>
      <c r="MMM3" s="994"/>
      <c r="MMN3" s="994"/>
      <c r="MMO3" s="994"/>
      <c r="MMP3" s="994"/>
      <c r="MMQ3" s="994"/>
      <c r="MMR3" s="994"/>
      <c r="MMS3" s="994"/>
      <c r="MMT3" s="994"/>
      <c r="MMU3" s="994"/>
      <c r="MMV3" s="994"/>
      <c r="MMW3" s="994"/>
      <c r="MMX3" s="994"/>
      <c r="MMY3" s="994"/>
      <c r="MMZ3" s="994"/>
      <c r="MNA3" s="994"/>
      <c r="MNB3" s="994"/>
      <c r="MNC3" s="994"/>
      <c r="MND3" s="994"/>
      <c r="MNE3" s="994"/>
      <c r="MNF3" s="994"/>
      <c r="MNG3" s="994"/>
      <c r="MNH3" s="994"/>
      <c r="MNI3" s="994"/>
      <c r="MNJ3" s="994"/>
      <c r="MNK3" s="994"/>
      <c r="MNL3" s="994"/>
      <c r="MNM3" s="994"/>
      <c r="MNN3" s="994"/>
      <c r="MNO3" s="994"/>
      <c r="MNP3" s="994"/>
      <c r="MNQ3" s="994"/>
      <c r="MNR3" s="994"/>
      <c r="MNS3" s="994"/>
      <c r="MNT3" s="994"/>
      <c r="MNU3" s="994"/>
      <c r="MNV3" s="994"/>
      <c r="MNW3" s="994"/>
      <c r="MNX3" s="994"/>
      <c r="MNY3" s="994"/>
      <c r="MNZ3" s="994"/>
      <c r="MOA3" s="994"/>
      <c r="MOB3" s="994"/>
      <c r="MOC3" s="994"/>
      <c r="MOD3" s="994"/>
      <c r="MOE3" s="994"/>
      <c r="MOF3" s="994"/>
      <c r="MOG3" s="994"/>
      <c r="MOH3" s="994"/>
      <c r="MOI3" s="994"/>
      <c r="MOJ3" s="994"/>
      <c r="MOK3" s="994"/>
      <c r="MOL3" s="994"/>
      <c r="MOM3" s="994"/>
      <c r="MON3" s="994"/>
      <c r="MOO3" s="994"/>
      <c r="MOP3" s="994"/>
      <c r="MOQ3" s="994"/>
      <c r="MOR3" s="994"/>
      <c r="MOS3" s="994"/>
      <c r="MOT3" s="994"/>
      <c r="MOU3" s="994"/>
      <c r="MOV3" s="994"/>
      <c r="MOW3" s="994"/>
      <c r="MOX3" s="994"/>
      <c r="MOY3" s="994"/>
      <c r="MOZ3" s="994"/>
      <c r="MPA3" s="994"/>
      <c r="MPB3" s="994"/>
      <c r="MPC3" s="994"/>
      <c r="MPD3" s="994"/>
      <c r="MPE3" s="994"/>
      <c r="MPF3" s="994"/>
      <c r="MPG3" s="994"/>
      <c r="MPH3" s="994"/>
      <c r="MPI3" s="994"/>
      <c r="MPJ3" s="994"/>
      <c r="MPK3" s="994"/>
      <c r="MPL3" s="994"/>
      <c r="MPM3" s="994"/>
      <c r="MPN3" s="994"/>
      <c r="MPO3" s="994"/>
      <c r="MPP3" s="994"/>
      <c r="MPQ3" s="994"/>
      <c r="MPR3" s="994"/>
      <c r="MPS3" s="994"/>
      <c r="MPT3" s="994"/>
      <c r="MPU3" s="994"/>
      <c r="MPV3" s="994"/>
      <c r="MPW3" s="994"/>
      <c r="MPX3" s="994"/>
      <c r="MPY3" s="994"/>
      <c r="MPZ3" s="994"/>
      <c r="MQA3" s="994"/>
      <c r="MQB3" s="994"/>
      <c r="MQC3" s="994"/>
      <c r="MQD3" s="994"/>
      <c r="MQE3" s="994"/>
      <c r="MQF3" s="994"/>
      <c r="MQG3" s="994"/>
      <c r="MQH3" s="994"/>
      <c r="MQI3" s="994"/>
      <c r="MQJ3" s="994"/>
      <c r="MQK3" s="994"/>
      <c r="MQL3" s="994"/>
      <c r="MQM3" s="994"/>
      <c r="MQN3" s="994"/>
      <c r="MQO3" s="994"/>
      <c r="MQP3" s="994"/>
      <c r="MQQ3" s="994"/>
      <c r="MQR3" s="994"/>
      <c r="MQS3" s="994"/>
      <c r="MQT3" s="994"/>
      <c r="MQU3" s="994"/>
      <c r="MQV3" s="994"/>
      <c r="MQW3" s="994"/>
      <c r="MQX3" s="994"/>
      <c r="MQY3" s="994"/>
      <c r="MQZ3" s="994"/>
      <c r="MRA3" s="994"/>
      <c r="MRB3" s="994"/>
      <c r="MRC3" s="994"/>
      <c r="MRD3" s="994"/>
      <c r="MRE3" s="994"/>
      <c r="MRF3" s="994"/>
      <c r="MRG3" s="994"/>
      <c r="MRH3" s="994"/>
      <c r="MRI3" s="994"/>
      <c r="MRJ3" s="994"/>
      <c r="MRK3" s="994"/>
      <c r="MRL3" s="994"/>
      <c r="MRM3" s="994"/>
      <c r="MRN3" s="994"/>
      <c r="MRO3" s="994"/>
      <c r="MRP3" s="994"/>
      <c r="MRQ3" s="994"/>
      <c r="MRR3" s="994"/>
      <c r="MRS3" s="994"/>
      <c r="MRT3" s="994"/>
      <c r="MRU3" s="994"/>
      <c r="MRV3" s="994"/>
      <c r="MRW3" s="994"/>
      <c r="MRX3" s="994"/>
      <c r="MRY3" s="994"/>
      <c r="MRZ3" s="994"/>
      <c r="MSA3" s="994"/>
      <c r="MSB3" s="994"/>
      <c r="MSC3" s="994"/>
      <c r="MSD3" s="994"/>
      <c r="MSE3" s="994"/>
      <c r="MSF3" s="994"/>
      <c r="MSG3" s="994"/>
      <c r="MSH3" s="994"/>
      <c r="MSI3" s="994"/>
      <c r="MSJ3" s="994"/>
      <c r="MSK3" s="994"/>
      <c r="MSL3" s="994"/>
      <c r="MSM3" s="994"/>
      <c r="MSN3" s="994"/>
      <c r="MSO3" s="994"/>
      <c r="MSP3" s="994"/>
      <c r="MSQ3" s="994"/>
      <c r="MSR3" s="994"/>
      <c r="MSS3" s="994"/>
      <c r="MST3" s="994"/>
      <c r="MSU3" s="994"/>
      <c r="MSV3" s="994"/>
      <c r="MSW3" s="994"/>
      <c r="MSX3" s="994"/>
      <c r="MSY3" s="994"/>
      <c r="MSZ3" s="994"/>
      <c r="MTA3" s="994"/>
      <c r="MTB3" s="994"/>
      <c r="MTC3" s="994"/>
      <c r="MTD3" s="994"/>
      <c r="MTE3" s="994"/>
      <c r="MTF3" s="994"/>
      <c r="MTG3" s="994"/>
      <c r="MTH3" s="994"/>
      <c r="MTI3" s="994"/>
      <c r="MTJ3" s="994"/>
      <c r="MTK3" s="994"/>
      <c r="MTL3" s="994"/>
      <c r="MTM3" s="994"/>
      <c r="MTN3" s="994"/>
      <c r="MTO3" s="994"/>
      <c r="MTP3" s="994"/>
      <c r="MTQ3" s="994"/>
      <c r="MTR3" s="994"/>
      <c r="MTS3" s="994"/>
      <c r="MTT3" s="994"/>
      <c r="MTU3" s="994"/>
      <c r="MTV3" s="994"/>
      <c r="MTW3" s="994"/>
      <c r="MTX3" s="994"/>
      <c r="MTY3" s="994"/>
      <c r="MTZ3" s="994"/>
      <c r="MUA3" s="994"/>
      <c r="MUB3" s="994"/>
      <c r="MUC3" s="994"/>
      <c r="MUD3" s="994"/>
      <c r="MUE3" s="994"/>
      <c r="MUF3" s="994"/>
      <c r="MUG3" s="994"/>
      <c r="MUH3" s="994"/>
      <c r="MUI3" s="994"/>
      <c r="MUJ3" s="994"/>
      <c r="MUK3" s="994"/>
      <c r="MUL3" s="994"/>
      <c r="MUM3" s="994"/>
      <c r="MUN3" s="994"/>
      <c r="MUO3" s="994"/>
      <c r="MUP3" s="994"/>
      <c r="MUQ3" s="994"/>
      <c r="MUR3" s="994"/>
      <c r="MUS3" s="994"/>
      <c r="MUT3" s="994"/>
      <c r="MUU3" s="994"/>
      <c r="MUV3" s="994"/>
      <c r="MUW3" s="994"/>
      <c r="MUX3" s="994"/>
      <c r="MUY3" s="994"/>
      <c r="MUZ3" s="994"/>
      <c r="MVA3" s="994"/>
      <c r="MVB3" s="994"/>
      <c r="MVC3" s="994"/>
      <c r="MVD3" s="994"/>
      <c r="MVE3" s="994"/>
      <c r="MVF3" s="994"/>
      <c r="MVG3" s="994"/>
      <c r="MVH3" s="994"/>
      <c r="MVI3" s="994"/>
      <c r="MVJ3" s="994"/>
      <c r="MVK3" s="994"/>
      <c r="MVL3" s="994"/>
      <c r="MVM3" s="994"/>
      <c r="MVN3" s="994"/>
      <c r="MVO3" s="994"/>
      <c r="MVP3" s="994"/>
      <c r="MVQ3" s="994"/>
      <c r="MVR3" s="994"/>
      <c r="MVS3" s="994"/>
      <c r="MVT3" s="994"/>
      <c r="MVU3" s="994"/>
      <c r="MVV3" s="994"/>
      <c r="MVW3" s="994"/>
      <c r="MVX3" s="994"/>
      <c r="MVY3" s="994"/>
      <c r="MVZ3" s="994"/>
      <c r="MWA3" s="994"/>
      <c r="MWB3" s="994"/>
      <c r="MWC3" s="994"/>
      <c r="MWD3" s="994"/>
      <c r="MWE3" s="994"/>
      <c r="MWF3" s="994"/>
      <c r="MWG3" s="994"/>
      <c r="MWH3" s="994"/>
      <c r="MWI3" s="994"/>
      <c r="MWJ3" s="994"/>
      <c r="MWK3" s="994"/>
      <c r="MWL3" s="994"/>
      <c r="MWM3" s="994"/>
      <c r="MWN3" s="994"/>
      <c r="MWO3" s="994"/>
      <c r="MWP3" s="994"/>
      <c r="MWQ3" s="994"/>
      <c r="MWR3" s="994"/>
      <c r="MWS3" s="994"/>
      <c r="MWT3" s="994"/>
      <c r="MWU3" s="994"/>
      <c r="MWV3" s="994"/>
      <c r="MWW3" s="994"/>
      <c r="MWX3" s="994"/>
      <c r="MWY3" s="994"/>
      <c r="MWZ3" s="994"/>
      <c r="MXA3" s="994"/>
      <c r="MXB3" s="994"/>
      <c r="MXC3" s="994"/>
      <c r="MXD3" s="994"/>
      <c r="MXE3" s="994"/>
      <c r="MXF3" s="994"/>
      <c r="MXG3" s="994"/>
      <c r="MXH3" s="994"/>
      <c r="MXI3" s="994"/>
      <c r="MXJ3" s="994"/>
      <c r="MXK3" s="994"/>
      <c r="MXL3" s="994"/>
      <c r="MXM3" s="994"/>
      <c r="MXN3" s="994"/>
      <c r="MXO3" s="994"/>
      <c r="MXP3" s="994"/>
      <c r="MXQ3" s="994"/>
      <c r="MXR3" s="994"/>
      <c r="MXS3" s="994"/>
      <c r="MXT3" s="994"/>
      <c r="MXU3" s="994"/>
      <c r="MXV3" s="994"/>
      <c r="MXW3" s="994"/>
      <c r="MXX3" s="994"/>
      <c r="MXY3" s="994"/>
      <c r="MXZ3" s="994"/>
      <c r="MYA3" s="994"/>
      <c r="MYB3" s="994"/>
      <c r="MYC3" s="994"/>
      <c r="MYD3" s="994"/>
      <c r="MYE3" s="994"/>
      <c r="MYF3" s="994"/>
      <c r="MYG3" s="994"/>
      <c r="MYH3" s="994"/>
      <c r="MYI3" s="994"/>
      <c r="MYJ3" s="994"/>
      <c r="MYK3" s="994"/>
      <c r="MYL3" s="994"/>
      <c r="MYM3" s="994"/>
      <c r="MYN3" s="994"/>
      <c r="MYO3" s="994"/>
      <c r="MYP3" s="994"/>
      <c r="MYQ3" s="994"/>
      <c r="MYR3" s="994"/>
      <c r="MYS3" s="994"/>
      <c r="MYT3" s="994"/>
      <c r="MYU3" s="994"/>
      <c r="MYV3" s="994"/>
      <c r="MYW3" s="994"/>
      <c r="MYX3" s="994"/>
      <c r="MYY3" s="994"/>
      <c r="MYZ3" s="994"/>
      <c r="MZA3" s="994"/>
      <c r="MZB3" s="994"/>
      <c r="MZC3" s="994"/>
      <c r="MZD3" s="994"/>
      <c r="MZE3" s="994"/>
      <c r="MZF3" s="994"/>
      <c r="MZG3" s="994"/>
      <c r="MZH3" s="994"/>
      <c r="MZI3" s="994"/>
      <c r="MZJ3" s="994"/>
      <c r="MZK3" s="994"/>
      <c r="MZL3" s="994"/>
      <c r="MZM3" s="994"/>
      <c r="MZN3" s="994"/>
      <c r="MZO3" s="994"/>
      <c r="MZP3" s="994"/>
      <c r="MZQ3" s="994"/>
      <c r="MZR3" s="994"/>
      <c r="MZS3" s="994"/>
      <c r="MZT3" s="994"/>
      <c r="MZU3" s="994"/>
      <c r="MZV3" s="994"/>
      <c r="MZW3" s="994"/>
      <c r="MZX3" s="994"/>
      <c r="MZY3" s="994"/>
      <c r="MZZ3" s="994"/>
      <c r="NAA3" s="994"/>
      <c r="NAB3" s="994"/>
      <c r="NAC3" s="994"/>
      <c r="NAD3" s="994"/>
      <c r="NAE3" s="994"/>
      <c r="NAF3" s="994"/>
      <c r="NAG3" s="994"/>
      <c r="NAH3" s="994"/>
      <c r="NAI3" s="994"/>
      <c r="NAJ3" s="994"/>
      <c r="NAK3" s="994"/>
      <c r="NAL3" s="994"/>
      <c r="NAM3" s="994"/>
      <c r="NAN3" s="994"/>
      <c r="NAO3" s="994"/>
      <c r="NAP3" s="994"/>
      <c r="NAQ3" s="994"/>
      <c r="NAR3" s="994"/>
      <c r="NAS3" s="994"/>
      <c r="NAT3" s="994"/>
      <c r="NAU3" s="994"/>
      <c r="NAV3" s="994"/>
      <c r="NAW3" s="994"/>
      <c r="NAX3" s="994"/>
      <c r="NAY3" s="994"/>
      <c r="NAZ3" s="994"/>
      <c r="NBA3" s="994"/>
      <c r="NBB3" s="994"/>
      <c r="NBC3" s="994"/>
      <c r="NBD3" s="994"/>
      <c r="NBE3" s="994"/>
      <c r="NBF3" s="994"/>
      <c r="NBG3" s="994"/>
      <c r="NBH3" s="994"/>
      <c r="NBI3" s="994"/>
      <c r="NBJ3" s="994"/>
      <c r="NBK3" s="994"/>
      <c r="NBL3" s="994"/>
      <c r="NBM3" s="994"/>
      <c r="NBN3" s="994"/>
      <c r="NBO3" s="994"/>
      <c r="NBP3" s="994"/>
      <c r="NBQ3" s="994"/>
      <c r="NBR3" s="994"/>
      <c r="NBS3" s="994"/>
      <c r="NBT3" s="994"/>
      <c r="NBU3" s="994"/>
      <c r="NBV3" s="994"/>
      <c r="NBW3" s="994"/>
      <c r="NBX3" s="994"/>
      <c r="NBY3" s="994"/>
      <c r="NBZ3" s="994"/>
      <c r="NCA3" s="994"/>
      <c r="NCB3" s="994"/>
      <c r="NCC3" s="994"/>
      <c r="NCD3" s="994"/>
      <c r="NCE3" s="994"/>
      <c r="NCF3" s="994"/>
      <c r="NCG3" s="994"/>
      <c r="NCH3" s="994"/>
      <c r="NCI3" s="994"/>
      <c r="NCJ3" s="994"/>
      <c r="NCK3" s="994"/>
      <c r="NCL3" s="994"/>
      <c r="NCM3" s="994"/>
      <c r="NCN3" s="994"/>
      <c r="NCO3" s="994"/>
      <c r="NCP3" s="994"/>
      <c r="NCQ3" s="994"/>
      <c r="NCR3" s="994"/>
      <c r="NCS3" s="994"/>
      <c r="NCT3" s="994"/>
      <c r="NCU3" s="994"/>
      <c r="NCV3" s="994"/>
      <c r="NCW3" s="994"/>
      <c r="NCX3" s="994"/>
      <c r="NCY3" s="994"/>
      <c r="NCZ3" s="994"/>
      <c r="NDA3" s="994"/>
      <c r="NDB3" s="994"/>
      <c r="NDC3" s="994"/>
      <c r="NDD3" s="994"/>
      <c r="NDE3" s="994"/>
      <c r="NDF3" s="994"/>
      <c r="NDG3" s="994"/>
      <c r="NDH3" s="994"/>
      <c r="NDI3" s="994"/>
      <c r="NDJ3" s="994"/>
      <c r="NDK3" s="994"/>
      <c r="NDL3" s="994"/>
      <c r="NDM3" s="994"/>
      <c r="NDN3" s="994"/>
      <c r="NDO3" s="994"/>
      <c r="NDP3" s="994"/>
      <c r="NDQ3" s="994"/>
      <c r="NDR3" s="994"/>
      <c r="NDS3" s="994"/>
      <c r="NDT3" s="994"/>
      <c r="NDU3" s="994"/>
      <c r="NDV3" s="994"/>
      <c r="NDW3" s="994"/>
      <c r="NDX3" s="994"/>
      <c r="NDY3" s="994"/>
      <c r="NDZ3" s="994"/>
      <c r="NEA3" s="994"/>
      <c r="NEB3" s="994"/>
      <c r="NEC3" s="994"/>
      <c r="NED3" s="994"/>
      <c r="NEE3" s="994"/>
      <c r="NEF3" s="994"/>
      <c r="NEG3" s="994"/>
      <c r="NEH3" s="994"/>
      <c r="NEI3" s="994"/>
      <c r="NEJ3" s="994"/>
      <c r="NEK3" s="994"/>
      <c r="NEL3" s="994"/>
      <c r="NEM3" s="994"/>
      <c r="NEN3" s="994"/>
      <c r="NEO3" s="994"/>
      <c r="NEP3" s="994"/>
      <c r="NEQ3" s="994"/>
      <c r="NER3" s="994"/>
      <c r="NES3" s="994"/>
      <c r="NET3" s="994"/>
      <c r="NEU3" s="994"/>
      <c r="NEV3" s="994"/>
      <c r="NEW3" s="994"/>
      <c r="NEX3" s="994"/>
      <c r="NEY3" s="994"/>
      <c r="NEZ3" s="994"/>
      <c r="NFA3" s="994"/>
      <c r="NFB3" s="994"/>
      <c r="NFC3" s="994"/>
      <c r="NFD3" s="994"/>
      <c r="NFE3" s="994"/>
      <c r="NFF3" s="994"/>
      <c r="NFG3" s="994"/>
      <c r="NFH3" s="994"/>
      <c r="NFI3" s="994"/>
      <c r="NFJ3" s="994"/>
      <c r="NFK3" s="994"/>
      <c r="NFL3" s="994"/>
      <c r="NFM3" s="994"/>
      <c r="NFN3" s="994"/>
      <c r="NFO3" s="994"/>
      <c r="NFP3" s="994"/>
      <c r="NFQ3" s="994"/>
      <c r="NFR3" s="994"/>
      <c r="NFS3" s="994"/>
      <c r="NFT3" s="994"/>
      <c r="NFU3" s="994"/>
      <c r="NFV3" s="994"/>
      <c r="NFW3" s="994"/>
      <c r="NFX3" s="994"/>
      <c r="NFY3" s="994"/>
      <c r="NFZ3" s="994"/>
      <c r="NGA3" s="994"/>
      <c r="NGB3" s="994"/>
      <c r="NGC3" s="994"/>
      <c r="NGD3" s="994"/>
      <c r="NGE3" s="994"/>
      <c r="NGF3" s="994"/>
      <c r="NGG3" s="994"/>
      <c r="NGH3" s="994"/>
      <c r="NGI3" s="994"/>
      <c r="NGJ3" s="994"/>
      <c r="NGK3" s="994"/>
      <c r="NGL3" s="994"/>
      <c r="NGM3" s="994"/>
      <c r="NGN3" s="994"/>
      <c r="NGO3" s="994"/>
      <c r="NGP3" s="994"/>
      <c r="NGQ3" s="994"/>
      <c r="NGR3" s="994"/>
      <c r="NGS3" s="994"/>
      <c r="NGT3" s="994"/>
      <c r="NGU3" s="994"/>
      <c r="NGV3" s="994"/>
      <c r="NGW3" s="994"/>
      <c r="NGX3" s="994"/>
      <c r="NGY3" s="994"/>
      <c r="NGZ3" s="994"/>
      <c r="NHA3" s="994"/>
      <c r="NHB3" s="994"/>
      <c r="NHC3" s="994"/>
      <c r="NHD3" s="994"/>
      <c r="NHE3" s="994"/>
      <c r="NHF3" s="994"/>
      <c r="NHG3" s="994"/>
      <c r="NHH3" s="994"/>
      <c r="NHI3" s="994"/>
      <c r="NHJ3" s="994"/>
      <c r="NHK3" s="994"/>
      <c r="NHL3" s="994"/>
      <c r="NHM3" s="994"/>
      <c r="NHN3" s="994"/>
      <c r="NHO3" s="994"/>
      <c r="NHP3" s="994"/>
      <c r="NHQ3" s="994"/>
      <c r="NHR3" s="994"/>
      <c r="NHS3" s="994"/>
      <c r="NHT3" s="994"/>
      <c r="NHU3" s="994"/>
      <c r="NHV3" s="994"/>
      <c r="NHW3" s="994"/>
      <c r="NHX3" s="994"/>
      <c r="NHY3" s="994"/>
      <c r="NHZ3" s="994"/>
      <c r="NIA3" s="994"/>
      <c r="NIB3" s="994"/>
      <c r="NIC3" s="994"/>
      <c r="NID3" s="994"/>
      <c r="NIE3" s="994"/>
      <c r="NIF3" s="994"/>
      <c r="NIG3" s="994"/>
      <c r="NIH3" s="994"/>
      <c r="NII3" s="994"/>
      <c r="NIJ3" s="994"/>
      <c r="NIK3" s="994"/>
      <c r="NIL3" s="994"/>
      <c r="NIM3" s="994"/>
      <c r="NIN3" s="994"/>
      <c r="NIO3" s="994"/>
      <c r="NIP3" s="994"/>
      <c r="NIQ3" s="994"/>
      <c r="NIR3" s="994"/>
      <c r="NIS3" s="994"/>
      <c r="NIT3" s="994"/>
      <c r="NIU3" s="994"/>
      <c r="NIV3" s="994"/>
      <c r="NIW3" s="994"/>
      <c r="NIX3" s="994"/>
      <c r="NIY3" s="994"/>
      <c r="NIZ3" s="994"/>
      <c r="NJA3" s="994"/>
      <c r="NJB3" s="994"/>
      <c r="NJC3" s="994"/>
      <c r="NJD3" s="994"/>
      <c r="NJE3" s="994"/>
      <c r="NJF3" s="994"/>
      <c r="NJG3" s="994"/>
      <c r="NJH3" s="994"/>
      <c r="NJI3" s="994"/>
      <c r="NJJ3" s="994"/>
      <c r="NJK3" s="994"/>
      <c r="NJL3" s="994"/>
      <c r="NJM3" s="994"/>
      <c r="NJN3" s="994"/>
      <c r="NJO3" s="994"/>
      <c r="NJP3" s="994"/>
      <c r="NJQ3" s="994"/>
      <c r="NJR3" s="994"/>
      <c r="NJS3" s="994"/>
      <c r="NJT3" s="994"/>
      <c r="NJU3" s="994"/>
      <c r="NJV3" s="994"/>
      <c r="NJW3" s="994"/>
      <c r="NJX3" s="994"/>
      <c r="NJY3" s="994"/>
      <c r="NJZ3" s="994"/>
      <c r="NKA3" s="994"/>
      <c r="NKB3" s="994"/>
      <c r="NKC3" s="994"/>
      <c r="NKD3" s="994"/>
      <c r="NKE3" s="994"/>
      <c r="NKF3" s="994"/>
      <c r="NKG3" s="994"/>
      <c r="NKH3" s="994"/>
      <c r="NKI3" s="994"/>
      <c r="NKJ3" s="994"/>
      <c r="NKK3" s="994"/>
      <c r="NKL3" s="994"/>
      <c r="NKM3" s="994"/>
      <c r="NKN3" s="994"/>
      <c r="NKO3" s="994"/>
      <c r="NKP3" s="994"/>
      <c r="NKQ3" s="994"/>
      <c r="NKR3" s="994"/>
      <c r="NKS3" s="994"/>
      <c r="NKT3" s="994"/>
      <c r="NKU3" s="994"/>
      <c r="NKV3" s="994"/>
      <c r="NKW3" s="994"/>
      <c r="NKX3" s="994"/>
      <c r="NKY3" s="994"/>
      <c r="NKZ3" s="994"/>
      <c r="NLA3" s="994"/>
      <c r="NLB3" s="994"/>
      <c r="NLC3" s="994"/>
      <c r="NLD3" s="994"/>
      <c r="NLE3" s="994"/>
      <c r="NLF3" s="994"/>
      <c r="NLG3" s="994"/>
      <c r="NLH3" s="994"/>
      <c r="NLI3" s="994"/>
      <c r="NLJ3" s="994"/>
      <c r="NLK3" s="994"/>
      <c r="NLL3" s="994"/>
      <c r="NLM3" s="994"/>
      <c r="NLN3" s="994"/>
      <c r="NLO3" s="994"/>
      <c r="NLP3" s="994"/>
      <c r="NLQ3" s="994"/>
      <c r="NLR3" s="994"/>
      <c r="NLS3" s="994"/>
      <c r="NLT3" s="994"/>
      <c r="NLU3" s="994"/>
      <c r="NLV3" s="994"/>
      <c r="NLW3" s="994"/>
      <c r="NLX3" s="994"/>
      <c r="NLY3" s="994"/>
      <c r="NLZ3" s="994"/>
      <c r="NMA3" s="994"/>
      <c r="NMB3" s="994"/>
      <c r="NMC3" s="994"/>
      <c r="NMD3" s="994"/>
      <c r="NME3" s="994"/>
      <c r="NMF3" s="994"/>
      <c r="NMG3" s="994"/>
      <c r="NMH3" s="994"/>
      <c r="NMI3" s="994"/>
      <c r="NMJ3" s="994"/>
      <c r="NMK3" s="994"/>
      <c r="NML3" s="994"/>
      <c r="NMM3" s="994"/>
      <c r="NMN3" s="994"/>
      <c r="NMO3" s="994"/>
      <c r="NMP3" s="994"/>
      <c r="NMQ3" s="994"/>
      <c r="NMR3" s="994"/>
      <c r="NMS3" s="994"/>
      <c r="NMT3" s="994"/>
      <c r="NMU3" s="994"/>
      <c r="NMV3" s="994"/>
      <c r="NMW3" s="994"/>
      <c r="NMX3" s="994"/>
      <c r="NMY3" s="994"/>
      <c r="NMZ3" s="994"/>
      <c r="NNA3" s="994"/>
      <c r="NNB3" s="994"/>
      <c r="NNC3" s="994"/>
      <c r="NND3" s="994"/>
      <c r="NNE3" s="994"/>
      <c r="NNF3" s="994"/>
      <c r="NNG3" s="994"/>
      <c r="NNH3" s="994"/>
      <c r="NNI3" s="994"/>
      <c r="NNJ3" s="994"/>
      <c r="NNK3" s="994"/>
      <c r="NNL3" s="994"/>
      <c r="NNM3" s="994"/>
      <c r="NNN3" s="994"/>
      <c r="NNO3" s="994"/>
      <c r="NNP3" s="994"/>
      <c r="NNQ3" s="994"/>
      <c r="NNR3" s="994"/>
      <c r="NNS3" s="994"/>
      <c r="NNT3" s="994"/>
      <c r="NNU3" s="994"/>
      <c r="NNV3" s="994"/>
      <c r="NNW3" s="994"/>
      <c r="NNX3" s="994"/>
      <c r="NNY3" s="994"/>
      <c r="NNZ3" s="994"/>
      <c r="NOA3" s="994"/>
      <c r="NOB3" s="994"/>
      <c r="NOC3" s="994"/>
      <c r="NOD3" s="994"/>
      <c r="NOE3" s="994"/>
      <c r="NOF3" s="994"/>
      <c r="NOG3" s="994"/>
      <c r="NOH3" s="994"/>
      <c r="NOI3" s="994"/>
      <c r="NOJ3" s="994"/>
      <c r="NOK3" s="994"/>
      <c r="NOL3" s="994"/>
      <c r="NOM3" s="994"/>
      <c r="NON3" s="994"/>
      <c r="NOO3" s="994"/>
      <c r="NOP3" s="994"/>
      <c r="NOQ3" s="994"/>
      <c r="NOR3" s="994"/>
      <c r="NOS3" s="994"/>
      <c r="NOT3" s="994"/>
      <c r="NOU3" s="994"/>
      <c r="NOV3" s="994"/>
      <c r="NOW3" s="994"/>
      <c r="NOX3" s="994"/>
      <c r="NOY3" s="994"/>
      <c r="NOZ3" s="994"/>
      <c r="NPA3" s="994"/>
      <c r="NPB3" s="994"/>
      <c r="NPC3" s="994"/>
      <c r="NPD3" s="994"/>
      <c r="NPE3" s="994"/>
      <c r="NPF3" s="994"/>
      <c r="NPG3" s="994"/>
      <c r="NPH3" s="994"/>
      <c r="NPI3" s="994"/>
      <c r="NPJ3" s="994"/>
      <c r="NPK3" s="994"/>
      <c r="NPL3" s="994"/>
      <c r="NPM3" s="994"/>
      <c r="NPN3" s="994"/>
      <c r="NPO3" s="994"/>
      <c r="NPP3" s="994"/>
      <c r="NPQ3" s="994"/>
      <c r="NPR3" s="994"/>
      <c r="NPS3" s="994"/>
      <c r="NPT3" s="994"/>
      <c r="NPU3" s="994"/>
      <c r="NPV3" s="994"/>
      <c r="NPW3" s="994"/>
      <c r="NPX3" s="994"/>
      <c r="NPY3" s="994"/>
      <c r="NPZ3" s="994"/>
      <c r="NQA3" s="994"/>
      <c r="NQB3" s="994"/>
      <c r="NQC3" s="994"/>
      <c r="NQD3" s="994"/>
      <c r="NQE3" s="994"/>
      <c r="NQF3" s="994"/>
      <c r="NQG3" s="994"/>
      <c r="NQH3" s="994"/>
      <c r="NQI3" s="994"/>
      <c r="NQJ3" s="994"/>
      <c r="NQK3" s="994"/>
      <c r="NQL3" s="994"/>
      <c r="NQM3" s="994"/>
      <c r="NQN3" s="994"/>
      <c r="NQO3" s="994"/>
      <c r="NQP3" s="994"/>
      <c r="NQQ3" s="994"/>
      <c r="NQR3" s="994"/>
      <c r="NQS3" s="994"/>
      <c r="NQT3" s="994"/>
      <c r="NQU3" s="994"/>
      <c r="NQV3" s="994"/>
      <c r="NQW3" s="994"/>
      <c r="NQX3" s="994"/>
      <c r="NQY3" s="994"/>
      <c r="NQZ3" s="994"/>
      <c r="NRA3" s="994"/>
      <c r="NRB3" s="994"/>
      <c r="NRC3" s="994"/>
      <c r="NRD3" s="994"/>
      <c r="NRE3" s="994"/>
      <c r="NRF3" s="994"/>
      <c r="NRG3" s="994"/>
      <c r="NRH3" s="994"/>
      <c r="NRI3" s="994"/>
      <c r="NRJ3" s="994"/>
      <c r="NRK3" s="994"/>
      <c r="NRL3" s="994"/>
      <c r="NRM3" s="994"/>
      <c r="NRN3" s="994"/>
      <c r="NRO3" s="994"/>
      <c r="NRP3" s="994"/>
      <c r="NRQ3" s="994"/>
      <c r="NRR3" s="994"/>
      <c r="NRS3" s="994"/>
      <c r="NRT3" s="994"/>
      <c r="NRU3" s="994"/>
      <c r="NRV3" s="994"/>
      <c r="NRW3" s="994"/>
      <c r="NRX3" s="994"/>
      <c r="NRY3" s="994"/>
      <c r="NRZ3" s="994"/>
      <c r="NSA3" s="994"/>
      <c r="NSB3" s="994"/>
      <c r="NSC3" s="994"/>
      <c r="NSD3" s="994"/>
      <c r="NSE3" s="994"/>
      <c r="NSF3" s="994"/>
      <c r="NSG3" s="994"/>
      <c r="NSH3" s="994"/>
      <c r="NSI3" s="994"/>
      <c r="NSJ3" s="994"/>
      <c r="NSK3" s="994"/>
      <c r="NSL3" s="994"/>
      <c r="NSM3" s="994"/>
      <c r="NSN3" s="994"/>
      <c r="NSO3" s="994"/>
      <c r="NSP3" s="994"/>
      <c r="NSQ3" s="994"/>
      <c r="NSR3" s="994"/>
      <c r="NSS3" s="994"/>
      <c r="NST3" s="994"/>
      <c r="NSU3" s="994"/>
      <c r="NSV3" s="994"/>
      <c r="NSW3" s="994"/>
      <c r="NSX3" s="994"/>
      <c r="NSY3" s="994"/>
      <c r="NSZ3" s="994"/>
      <c r="NTA3" s="994"/>
      <c r="NTB3" s="994"/>
      <c r="NTC3" s="994"/>
      <c r="NTD3" s="994"/>
      <c r="NTE3" s="994"/>
      <c r="NTF3" s="994"/>
      <c r="NTG3" s="994"/>
      <c r="NTH3" s="994"/>
      <c r="NTI3" s="994"/>
      <c r="NTJ3" s="994"/>
      <c r="NTK3" s="994"/>
      <c r="NTL3" s="994"/>
      <c r="NTM3" s="994"/>
      <c r="NTN3" s="994"/>
      <c r="NTO3" s="994"/>
      <c r="NTP3" s="994"/>
      <c r="NTQ3" s="994"/>
      <c r="NTR3" s="994"/>
      <c r="NTS3" s="994"/>
      <c r="NTT3" s="994"/>
      <c r="NTU3" s="994"/>
      <c r="NTV3" s="994"/>
      <c r="NTW3" s="994"/>
      <c r="NTX3" s="994"/>
      <c r="NTY3" s="994"/>
      <c r="NTZ3" s="994"/>
      <c r="NUA3" s="994"/>
      <c r="NUB3" s="994"/>
      <c r="NUC3" s="994"/>
      <c r="NUD3" s="994"/>
      <c r="NUE3" s="994"/>
      <c r="NUF3" s="994"/>
      <c r="NUG3" s="994"/>
      <c r="NUH3" s="994"/>
      <c r="NUI3" s="994"/>
      <c r="NUJ3" s="994"/>
      <c r="NUK3" s="994"/>
      <c r="NUL3" s="994"/>
      <c r="NUM3" s="994"/>
      <c r="NUN3" s="994"/>
      <c r="NUO3" s="994"/>
      <c r="NUP3" s="994"/>
      <c r="NUQ3" s="994"/>
      <c r="NUR3" s="994"/>
      <c r="NUS3" s="994"/>
      <c r="NUT3" s="994"/>
      <c r="NUU3" s="994"/>
      <c r="NUV3" s="994"/>
      <c r="NUW3" s="994"/>
      <c r="NUX3" s="994"/>
      <c r="NUY3" s="994"/>
      <c r="NUZ3" s="994"/>
      <c r="NVA3" s="994"/>
      <c r="NVB3" s="994"/>
      <c r="NVC3" s="994"/>
      <c r="NVD3" s="994"/>
      <c r="NVE3" s="994"/>
      <c r="NVF3" s="994"/>
      <c r="NVG3" s="994"/>
      <c r="NVH3" s="994"/>
      <c r="NVI3" s="994"/>
      <c r="NVJ3" s="994"/>
      <c r="NVK3" s="994"/>
      <c r="NVL3" s="994"/>
      <c r="NVM3" s="994"/>
      <c r="NVN3" s="994"/>
      <c r="NVO3" s="994"/>
      <c r="NVP3" s="994"/>
      <c r="NVQ3" s="994"/>
      <c r="NVR3" s="994"/>
      <c r="NVS3" s="994"/>
      <c r="NVT3" s="994"/>
      <c r="NVU3" s="994"/>
      <c r="NVV3" s="994"/>
      <c r="NVW3" s="994"/>
      <c r="NVX3" s="994"/>
      <c r="NVY3" s="994"/>
      <c r="NVZ3" s="994"/>
      <c r="NWA3" s="994"/>
      <c r="NWB3" s="994"/>
      <c r="NWC3" s="994"/>
      <c r="NWD3" s="994"/>
      <c r="NWE3" s="994"/>
      <c r="NWF3" s="994"/>
      <c r="NWG3" s="994"/>
      <c r="NWH3" s="994"/>
      <c r="NWI3" s="994"/>
      <c r="NWJ3" s="994"/>
      <c r="NWK3" s="994"/>
      <c r="NWL3" s="994"/>
      <c r="NWM3" s="994"/>
      <c r="NWN3" s="994"/>
      <c r="NWO3" s="994"/>
      <c r="NWP3" s="994"/>
      <c r="NWQ3" s="994"/>
      <c r="NWR3" s="994"/>
      <c r="NWS3" s="994"/>
      <c r="NWT3" s="994"/>
      <c r="NWU3" s="994"/>
      <c r="NWV3" s="994"/>
      <c r="NWW3" s="994"/>
      <c r="NWX3" s="994"/>
      <c r="NWY3" s="994"/>
      <c r="NWZ3" s="994"/>
      <c r="NXA3" s="994"/>
      <c r="NXB3" s="994"/>
      <c r="NXC3" s="994"/>
      <c r="NXD3" s="994"/>
      <c r="NXE3" s="994"/>
      <c r="NXF3" s="994"/>
      <c r="NXG3" s="994"/>
      <c r="NXH3" s="994"/>
      <c r="NXI3" s="994"/>
      <c r="NXJ3" s="994"/>
      <c r="NXK3" s="994"/>
      <c r="NXL3" s="994"/>
      <c r="NXM3" s="994"/>
      <c r="NXN3" s="994"/>
      <c r="NXO3" s="994"/>
      <c r="NXP3" s="994"/>
      <c r="NXQ3" s="994"/>
      <c r="NXR3" s="994"/>
      <c r="NXS3" s="994"/>
      <c r="NXT3" s="994"/>
      <c r="NXU3" s="994"/>
      <c r="NXV3" s="994"/>
      <c r="NXW3" s="994"/>
      <c r="NXX3" s="994"/>
      <c r="NXY3" s="994"/>
      <c r="NXZ3" s="994"/>
      <c r="NYA3" s="994"/>
      <c r="NYB3" s="994"/>
      <c r="NYC3" s="994"/>
      <c r="NYD3" s="994"/>
      <c r="NYE3" s="994"/>
      <c r="NYF3" s="994"/>
      <c r="NYG3" s="994"/>
      <c r="NYH3" s="994"/>
      <c r="NYI3" s="994"/>
      <c r="NYJ3" s="994"/>
      <c r="NYK3" s="994"/>
      <c r="NYL3" s="994"/>
      <c r="NYM3" s="994"/>
      <c r="NYN3" s="994"/>
      <c r="NYO3" s="994"/>
      <c r="NYP3" s="994"/>
      <c r="NYQ3" s="994"/>
      <c r="NYR3" s="994"/>
      <c r="NYS3" s="994"/>
      <c r="NYT3" s="994"/>
      <c r="NYU3" s="994"/>
      <c r="NYV3" s="994"/>
      <c r="NYW3" s="994"/>
      <c r="NYX3" s="994"/>
      <c r="NYY3" s="994"/>
      <c r="NYZ3" s="994"/>
      <c r="NZA3" s="994"/>
      <c r="NZB3" s="994"/>
      <c r="NZC3" s="994"/>
      <c r="NZD3" s="994"/>
      <c r="NZE3" s="994"/>
      <c r="NZF3" s="994"/>
      <c r="NZG3" s="994"/>
      <c r="NZH3" s="994"/>
      <c r="NZI3" s="994"/>
      <c r="NZJ3" s="994"/>
      <c r="NZK3" s="994"/>
      <c r="NZL3" s="994"/>
      <c r="NZM3" s="994"/>
      <c r="NZN3" s="994"/>
      <c r="NZO3" s="994"/>
      <c r="NZP3" s="994"/>
      <c r="NZQ3" s="994"/>
      <c r="NZR3" s="994"/>
      <c r="NZS3" s="994"/>
      <c r="NZT3" s="994"/>
      <c r="NZU3" s="994"/>
      <c r="NZV3" s="994"/>
      <c r="NZW3" s="994"/>
      <c r="NZX3" s="994"/>
      <c r="NZY3" s="994"/>
      <c r="NZZ3" s="994"/>
      <c r="OAA3" s="994"/>
      <c r="OAB3" s="994"/>
      <c r="OAC3" s="994"/>
      <c r="OAD3" s="994"/>
      <c r="OAE3" s="994"/>
      <c r="OAF3" s="994"/>
      <c r="OAG3" s="994"/>
      <c r="OAH3" s="994"/>
      <c r="OAI3" s="994"/>
      <c r="OAJ3" s="994"/>
      <c r="OAK3" s="994"/>
      <c r="OAL3" s="994"/>
      <c r="OAM3" s="994"/>
      <c r="OAN3" s="994"/>
      <c r="OAO3" s="994"/>
      <c r="OAP3" s="994"/>
      <c r="OAQ3" s="994"/>
      <c r="OAR3" s="994"/>
      <c r="OAS3" s="994"/>
      <c r="OAT3" s="994"/>
      <c r="OAU3" s="994"/>
      <c r="OAV3" s="994"/>
      <c r="OAW3" s="994"/>
      <c r="OAX3" s="994"/>
      <c r="OAY3" s="994"/>
      <c r="OAZ3" s="994"/>
      <c r="OBA3" s="994"/>
      <c r="OBB3" s="994"/>
      <c r="OBC3" s="994"/>
      <c r="OBD3" s="994"/>
      <c r="OBE3" s="994"/>
      <c r="OBF3" s="994"/>
      <c r="OBG3" s="994"/>
      <c r="OBH3" s="994"/>
      <c r="OBI3" s="994"/>
      <c r="OBJ3" s="994"/>
      <c r="OBK3" s="994"/>
      <c r="OBL3" s="994"/>
      <c r="OBM3" s="994"/>
      <c r="OBN3" s="994"/>
      <c r="OBO3" s="994"/>
      <c r="OBP3" s="994"/>
      <c r="OBQ3" s="994"/>
      <c r="OBR3" s="994"/>
      <c r="OBS3" s="994"/>
      <c r="OBT3" s="994"/>
      <c r="OBU3" s="994"/>
      <c r="OBV3" s="994"/>
      <c r="OBW3" s="994"/>
      <c r="OBX3" s="994"/>
      <c r="OBY3" s="994"/>
      <c r="OBZ3" s="994"/>
      <c r="OCA3" s="994"/>
      <c r="OCB3" s="994"/>
      <c r="OCC3" s="994"/>
      <c r="OCD3" s="994"/>
      <c r="OCE3" s="994"/>
      <c r="OCF3" s="994"/>
      <c r="OCG3" s="994"/>
      <c r="OCH3" s="994"/>
      <c r="OCI3" s="994"/>
      <c r="OCJ3" s="994"/>
      <c r="OCK3" s="994"/>
      <c r="OCL3" s="994"/>
      <c r="OCM3" s="994"/>
      <c r="OCN3" s="994"/>
      <c r="OCO3" s="994"/>
      <c r="OCP3" s="994"/>
      <c r="OCQ3" s="994"/>
      <c r="OCR3" s="994"/>
      <c r="OCS3" s="994"/>
      <c r="OCT3" s="994"/>
      <c r="OCU3" s="994"/>
      <c r="OCV3" s="994"/>
      <c r="OCW3" s="994"/>
      <c r="OCX3" s="994"/>
      <c r="OCY3" s="994"/>
      <c r="OCZ3" s="994"/>
      <c r="ODA3" s="994"/>
      <c r="ODB3" s="994"/>
      <c r="ODC3" s="994"/>
      <c r="ODD3" s="994"/>
      <c r="ODE3" s="994"/>
      <c r="ODF3" s="994"/>
      <c r="ODG3" s="994"/>
      <c r="ODH3" s="994"/>
      <c r="ODI3" s="994"/>
      <c r="ODJ3" s="994"/>
      <c r="ODK3" s="994"/>
      <c r="ODL3" s="994"/>
      <c r="ODM3" s="994"/>
      <c r="ODN3" s="994"/>
      <c r="ODO3" s="994"/>
      <c r="ODP3" s="994"/>
      <c r="ODQ3" s="994"/>
      <c r="ODR3" s="994"/>
      <c r="ODS3" s="994"/>
      <c r="ODT3" s="994"/>
      <c r="ODU3" s="994"/>
      <c r="ODV3" s="994"/>
      <c r="ODW3" s="994"/>
      <c r="ODX3" s="994"/>
      <c r="ODY3" s="994"/>
      <c r="ODZ3" s="994"/>
      <c r="OEA3" s="994"/>
      <c r="OEB3" s="994"/>
      <c r="OEC3" s="994"/>
      <c r="OED3" s="994"/>
      <c r="OEE3" s="994"/>
      <c r="OEF3" s="994"/>
      <c r="OEG3" s="994"/>
      <c r="OEH3" s="994"/>
      <c r="OEI3" s="994"/>
      <c r="OEJ3" s="994"/>
      <c r="OEK3" s="994"/>
      <c r="OEL3" s="994"/>
      <c r="OEM3" s="994"/>
      <c r="OEN3" s="994"/>
      <c r="OEO3" s="994"/>
      <c r="OEP3" s="994"/>
      <c r="OEQ3" s="994"/>
      <c r="OER3" s="994"/>
      <c r="OES3" s="994"/>
      <c r="OET3" s="994"/>
      <c r="OEU3" s="994"/>
      <c r="OEV3" s="994"/>
      <c r="OEW3" s="994"/>
      <c r="OEX3" s="994"/>
      <c r="OEY3" s="994"/>
      <c r="OEZ3" s="994"/>
      <c r="OFA3" s="994"/>
      <c r="OFB3" s="994"/>
      <c r="OFC3" s="994"/>
      <c r="OFD3" s="994"/>
      <c r="OFE3" s="994"/>
      <c r="OFF3" s="994"/>
      <c r="OFG3" s="994"/>
      <c r="OFH3" s="994"/>
      <c r="OFI3" s="994"/>
      <c r="OFJ3" s="994"/>
      <c r="OFK3" s="994"/>
      <c r="OFL3" s="994"/>
      <c r="OFM3" s="994"/>
      <c r="OFN3" s="994"/>
      <c r="OFO3" s="994"/>
      <c r="OFP3" s="994"/>
      <c r="OFQ3" s="994"/>
      <c r="OFR3" s="994"/>
      <c r="OFS3" s="994"/>
      <c r="OFT3" s="994"/>
      <c r="OFU3" s="994"/>
      <c r="OFV3" s="994"/>
      <c r="OFW3" s="994"/>
      <c r="OFX3" s="994"/>
      <c r="OFY3" s="994"/>
      <c r="OFZ3" s="994"/>
      <c r="OGA3" s="994"/>
      <c r="OGB3" s="994"/>
      <c r="OGC3" s="994"/>
      <c r="OGD3" s="994"/>
      <c r="OGE3" s="994"/>
      <c r="OGF3" s="994"/>
      <c r="OGG3" s="994"/>
      <c r="OGH3" s="994"/>
      <c r="OGI3" s="994"/>
      <c r="OGJ3" s="994"/>
      <c r="OGK3" s="994"/>
      <c r="OGL3" s="994"/>
      <c r="OGM3" s="994"/>
      <c r="OGN3" s="994"/>
      <c r="OGO3" s="994"/>
      <c r="OGP3" s="994"/>
      <c r="OGQ3" s="994"/>
      <c r="OGR3" s="994"/>
      <c r="OGS3" s="994"/>
      <c r="OGT3" s="994"/>
      <c r="OGU3" s="994"/>
      <c r="OGV3" s="994"/>
      <c r="OGW3" s="994"/>
      <c r="OGX3" s="994"/>
      <c r="OGY3" s="994"/>
      <c r="OGZ3" s="994"/>
      <c r="OHA3" s="994"/>
      <c r="OHB3" s="994"/>
      <c r="OHC3" s="994"/>
      <c r="OHD3" s="994"/>
      <c r="OHE3" s="994"/>
      <c r="OHF3" s="994"/>
      <c r="OHG3" s="994"/>
      <c r="OHH3" s="994"/>
      <c r="OHI3" s="994"/>
      <c r="OHJ3" s="994"/>
      <c r="OHK3" s="994"/>
      <c r="OHL3" s="994"/>
      <c r="OHM3" s="994"/>
      <c r="OHN3" s="994"/>
      <c r="OHO3" s="994"/>
      <c r="OHP3" s="994"/>
      <c r="OHQ3" s="994"/>
      <c r="OHR3" s="994"/>
      <c r="OHS3" s="994"/>
      <c r="OHT3" s="994"/>
      <c r="OHU3" s="994"/>
      <c r="OHV3" s="994"/>
      <c r="OHW3" s="994"/>
      <c r="OHX3" s="994"/>
      <c r="OHY3" s="994"/>
      <c r="OHZ3" s="994"/>
      <c r="OIA3" s="994"/>
      <c r="OIB3" s="994"/>
      <c r="OIC3" s="994"/>
      <c r="OID3" s="994"/>
      <c r="OIE3" s="994"/>
      <c r="OIF3" s="994"/>
      <c r="OIG3" s="994"/>
      <c r="OIH3" s="994"/>
      <c r="OII3" s="994"/>
      <c r="OIJ3" s="994"/>
      <c r="OIK3" s="994"/>
      <c r="OIL3" s="994"/>
      <c r="OIM3" s="994"/>
      <c r="OIN3" s="994"/>
      <c r="OIO3" s="994"/>
      <c r="OIP3" s="994"/>
      <c r="OIQ3" s="994"/>
      <c r="OIR3" s="994"/>
      <c r="OIS3" s="994"/>
      <c r="OIT3" s="994"/>
      <c r="OIU3" s="994"/>
      <c r="OIV3" s="994"/>
      <c r="OIW3" s="994"/>
      <c r="OIX3" s="994"/>
      <c r="OIY3" s="994"/>
      <c r="OIZ3" s="994"/>
      <c r="OJA3" s="994"/>
      <c r="OJB3" s="994"/>
      <c r="OJC3" s="994"/>
      <c r="OJD3" s="994"/>
      <c r="OJE3" s="994"/>
      <c r="OJF3" s="994"/>
      <c r="OJG3" s="994"/>
      <c r="OJH3" s="994"/>
      <c r="OJI3" s="994"/>
      <c r="OJJ3" s="994"/>
      <c r="OJK3" s="994"/>
      <c r="OJL3" s="994"/>
      <c r="OJM3" s="994"/>
      <c r="OJN3" s="994"/>
      <c r="OJO3" s="994"/>
      <c r="OJP3" s="994"/>
      <c r="OJQ3" s="994"/>
      <c r="OJR3" s="994"/>
      <c r="OJS3" s="994"/>
      <c r="OJT3" s="994"/>
      <c r="OJU3" s="994"/>
      <c r="OJV3" s="994"/>
      <c r="OJW3" s="994"/>
      <c r="OJX3" s="994"/>
      <c r="OJY3" s="994"/>
      <c r="OJZ3" s="994"/>
      <c r="OKA3" s="994"/>
      <c r="OKB3" s="994"/>
      <c r="OKC3" s="994"/>
      <c r="OKD3" s="994"/>
      <c r="OKE3" s="994"/>
      <c r="OKF3" s="994"/>
      <c r="OKG3" s="994"/>
      <c r="OKH3" s="994"/>
      <c r="OKI3" s="994"/>
      <c r="OKJ3" s="994"/>
      <c r="OKK3" s="994"/>
      <c r="OKL3" s="994"/>
      <c r="OKM3" s="994"/>
      <c r="OKN3" s="994"/>
      <c r="OKO3" s="994"/>
      <c r="OKP3" s="994"/>
      <c r="OKQ3" s="994"/>
      <c r="OKR3" s="994"/>
      <c r="OKS3" s="994"/>
      <c r="OKT3" s="994"/>
      <c r="OKU3" s="994"/>
      <c r="OKV3" s="994"/>
      <c r="OKW3" s="994"/>
      <c r="OKX3" s="994"/>
      <c r="OKY3" s="994"/>
      <c r="OKZ3" s="994"/>
      <c r="OLA3" s="994"/>
      <c r="OLB3" s="994"/>
      <c r="OLC3" s="994"/>
      <c r="OLD3" s="994"/>
      <c r="OLE3" s="994"/>
      <c r="OLF3" s="994"/>
      <c r="OLG3" s="994"/>
      <c r="OLH3" s="994"/>
      <c r="OLI3" s="994"/>
      <c r="OLJ3" s="994"/>
      <c r="OLK3" s="994"/>
      <c r="OLL3" s="994"/>
      <c r="OLM3" s="994"/>
      <c r="OLN3" s="994"/>
      <c r="OLO3" s="994"/>
      <c r="OLP3" s="994"/>
      <c r="OLQ3" s="994"/>
      <c r="OLR3" s="994"/>
      <c r="OLS3" s="994"/>
      <c r="OLT3" s="994"/>
      <c r="OLU3" s="994"/>
      <c r="OLV3" s="994"/>
      <c r="OLW3" s="994"/>
      <c r="OLX3" s="994"/>
      <c r="OLY3" s="994"/>
      <c r="OLZ3" s="994"/>
      <c r="OMA3" s="994"/>
      <c r="OMB3" s="994"/>
      <c r="OMC3" s="994"/>
      <c r="OMD3" s="994"/>
      <c r="OME3" s="994"/>
      <c r="OMF3" s="994"/>
      <c r="OMG3" s="994"/>
      <c r="OMH3" s="994"/>
      <c r="OMI3" s="994"/>
      <c r="OMJ3" s="994"/>
      <c r="OMK3" s="994"/>
      <c r="OML3" s="994"/>
      <c r="OMM3" s="994"/>
      <c r="OMN3" s="994"/>
      <c r="OMO3" s="994"/>
      <c r="OMP3" s="994"/>
      <c r="OMQ3" s="994"/>
      <c r="OMR3" s="994"/>
      <c r="OMS3" s="994"/>
      <c r="OMT3" s="994"/>
      <c r="OMU3" s="994"/>
      <c r="OMV3" s="994"/>
      <c r="OMW3" s="994"/>
      <c r="OMX3" s="994"/>
      <c r="OMY3" s="994"/>
      <c r="OMZ3" s="994"/>
      <c r="ONA3" s="994"/>
      <c r="ONB3" s="994"/>
      <c r="ONC3" s="994"/>
      <c r="OND3" s="994"/>
      <c r="ONE3" s="994"/>
      <c r="ONF3" s="994"/>
      <c r="ONG3" s="994"/>
      <c r="ONH3" s="994"/>
      <c r="ONI3" s="994"/>
      <c r="ONJ3" s="994"/>
      <c r="ONK3" s="994"/>
      <c r="ONL3" s="994"/>
      <c r="ONM3" s="994"/>
      <c r="ONN3" s="994"/>
      <c r="ONO3" s="994"/>
      <c r="ONP3" s="994"/>
      <c r="ONQ3" s="994"/>
      <c r="ONR3" s="994"/>
      <c r="ONS3" s="994"/>
      <c r="ONT3" s="994"/>
      <c r="ONU3" s="994"/>
      <c r="ONV3" s="994"/>
      <c r="ONW3" s="994"/>
      <c r="ONX3" s="994"/>
      <c r="ONY3" s="994"/>
      <c r="ONZ3" s="994"/>
      <c r="OOA3" s="994"/>
      <c r="OOB3" s="994"/>
      <c r="OOC3" s="994"/>
      <c r="OOD3" s="994"/>
      <c r="OOE3" s="994"/>
      <c r="OOF3" s="994"/>
      <c r="OOG3" s="994"/>
      <c r="OOH3" s="994"/>
      <c r="OOI3" s="994"/>
      <c r="OOJ3" s="994"/>
      <c r="OOK3" s="994"/>
      <c r="OOL3" s="994"/>
      <c r="OOM3" s="994"/>
      <c r="OON3" s="994"/>
      <c r="OOO3" s="994"/>
      <c r="OOP3" s="994"/>
      <c r="OOQ3" s="994"/>
      <c r="OOR3" s="994"/>
      <c r="OOS3" s="994"/>
      <c r="OOT3" s="994"/>
      <c r="OOU3" s="994"/>
      <c r="OOV3" s="994"/>
      <c r="OOW3" s="994"/>
      <c r="OOX3" s="994"/>
      <c r="OOY3" s="994"/>
      <c r="OOZ3" s="994"/>
      <c r="OPA3" s="994"/>
      <c r="OPB3" s="994"/>
      <c r="OPC3" s="994"/>
      <c r="OPD3" s="994"/>
      <c r="OPE3" s="994"/>
      <c r="OPF3" s="994"/>
      <c r="OPG3" s="994"/>
      <c r="OPH3" s="994"/>
      <c r="OPI3" s="994"/>
      <c r="OPJ3" s="994"/>
      <c r="OPK3" s="994"/>
      <c r="OPL3" s="994"/>
      <c r="OPM3" s="994"/>
      <c r="OPN3" s="994"/>
      <c r="OPO3" s="994"/>
      <c r="OPP3" s="994"/>
      <c r="OPQ3" s="994"/>
      <c r="OPR3" s="994"/>
      <c r="OPS3" s="994"/>
      <c r="OPT3" s="994"/>
      <c r="OPU3" s="994"/>
      <c r="OPV3" s="994"/>
      <c r="OPW3" s="994"/>
      <c r="OPX3" s="994"/>
      <c r="OPY3" s="994"/>
      <c r="OPZ3" s="994"/>
      <c r="OQA3" s="994"/>
      <c r="OQB3" s="994"/>
      <c r="OQC3" s="994"/>
      <c r="OQD3" s="994"/>
      <c r="OQE3" s="994"/>
      <c r="OQF3" s="994"/>
      <c r="OQG3" s="994"/>
      <c r="OQH3" s="994"/>
      <c r="OQI3" s="994"/>
      <c r="OQJ3" s="994"/>
      <c r="OQK3" s="994"/>
      <c r="OQL3" s="994"/>
      <c r="OQM3" s="994"/>
      <c r="OQN3" s="994"/>
      <c r="OQO3" s="994"/>
      <c r="OQP3" s="994"/>
      <c r="OQQ3" s="994"/>
      <c r="OQR3" s="994"/>
      <c r="OQS3" s="994"/>
      <c r="OQT3" s="994"/>
      <c r="OQU3" s="994"/>
      <c r="OQV3" s="994"/>
      <c r="OQW3" s="994"/>
      <c r="OQX3" s="994"/>
      <c r="OQY3" s="994"/>
      <c r="OQZ3" s="994"/>
      <c r="ORA3" s="994"/>
      <c r="ORB3" s="994"/>
      <c r="ORC3" s="994"/>
      <c r="ORD3" s="994"/>
      <c r="ORE3" s="994"/>
      <c r="ORF3" s="994"/>
      <c r="ORG3" s="994"/>
      <c r="ORH3" s="994"/>
      <c r="ORI3" s="994"/>
      <c r="ORJ3" s="994"/>
      <c r="ORK3" s="994"/>
      <c r="ORL3" s="994"/>
      <c r="ORM3" s="994"/>
      <c r="ORN3" s="994"/>
      <c r="ORO3" s="994"/>
      <c r="ORP3" s="994"/>
      <c r="ORQ3" s="994"/>
      <c r="ORR3" s="994"/>
      <c r="ORS3" s="994"/>
      <c r="ORT3" s="994"/>
      <c r="ORU3" s="994"/>
      <c r="ORV3" s="994"/>
      <c r="ORW3" s="994"/>
      <c r="ORX3" s="994"/>
      <c r="ORY3" s="994"/>
      <c r="ORZ3" s="994"/>
      <c r="OSA3" s="994"/>
      <c r="OSB3" s="994"/>
      <c r="OSC3" s="994"/>
      <c r="OSD3" s="994"/>
      <c r="OSE3" s="994"/>
      <c r="OSF3" s="994"/>
      <c r="OSG3" s="994"/>
      <c r="OSH3" s="994"/>
      <c r="OSI3" s="994"/>
      <c r="OSJ3" s="994"/>
      <c r="OSK3" s="994"/>
      <c r="OSL3" s="994"/>
      <c r="OSM3" s="994"/>
      <c r="OSN3" s="994"/>
      <c r="OSO3" s="994"/>
      <c r="OSP3" s="994"/>
      <c r="OSQ3" s="994"/>
      <c r="OSR3" s="994"/>
      <c r="OSS3" s="994"/>
      <c r="OST3" s="994"/>
      <c r="OSU3" s="994"/>
      <c r="OSV3" s="994"/>
      <c r="OSW3" s="994"/>
      <c r="OSX3" s="994"/>
      <c r="OSY3" s="994"/>
      <c r="OSZ3" s="994"/>
      <c r="OTA3" s="994"/>
      <c r="OTB3" s="994"/>
      <c r="OTC3" s="994"/>
      <c r="OTD3" s="994"/>
      <c r="OTE3" s="994"/>
      <c r="OTF3" s="994"/>
      <c r="OTG3" s="994"/>
      <c r="OTH3" s="994"/>
      <c r="OTI3" s="994"/>
      <c r="OTJ3" s="994"/>
      <c r="OTK3" s="994"/>
      <c r="OTL3" s="994"/>
      <c r="OTM3" s="994"/>
      <c r="OTN3" s="994"/>
      <c r="OTO3" s="994"/>
      <c r="OTP3" s="994"/>
      <c r="OTQ3" s="994"/>
      <c r="OTR3" s="994"/>
      <c r="OTS3" s="994"/>
      <c r="OTT3" s="994"/>
      <c r="OTU3" s="994"/>
      <c r="OTV3" s="994"/>
      <c r="OTW3" s="994"/>
      <c r="OTX3" s="994"/>
      <c r="OTY3" s="994"/>
      <c r="OTZ3" s="994"/>
      <c r="OUA3" s="994"/>
      <c r="OUB3" s="994"/>
      <c r="OUC3" s="994"/>
      <c r="OUD3" s="994"/>
      <c r="OUE3" s="994"/>
      <c r="OUF3" s="994"/>
      <c r="OUG3" s="994"/>
      <c r="OUH3" s="994"/>
      <c r="OUI3" s="994"/>
      <c r="OUJ3" s="994"/>
      <c r="OUK3" s="994"/>
      <c r="OUL3" s="994"/>
      <c r="OUM3" s="994"/>
      <c r="OUN3" s="994"/>
      <c r="OUO3" s="994"/>
      <c r="OUP3" s="994"/>
      <c r="OUQ3" s="994"/>
      <c r="OUR3" s="994"/>
      <c r="OUS3" s="994"/>
      <c r="OUT3" s="994"/>
      <c r="OUU3" s="994"/>
      <c r="OUV3" s="994"/>
      <c r="OUW3" s="994"/>
      <c r="OUX3" s="994"/>
      <c r="OUY3" s="994"/>
      <c r="OUZ3" s="994"/>
      <c r="OVA3" s="994"/>
      <c r="OVB3" s="994"/>
      <c r="OVC3" s="994"/>
      <c r="OVD3" s="994"/>
      <c r="OVE3" s="994"/>
      <c r="OVF3" s="994"/>
      <c r="OVG3" s="994"/>
      <c r="OVH3" s="994"/>
      <c r="OVI3" s="994"/>
      <c r="OVJ3" s="994"/>
      <c r="OVK3" s="994"/>
      <c r="OVL3" s="994"/>
      <c r="OVM3" s="994"/>
      <c r="OVN3" s="994"/>
      <c r="OVO3" s="994"/>
      <c r="OVP3" s="994"/>
      <c r="OVQ3" s="994"/>
      <c r="OVR3" s="994"/>
      <c r="OVS3" s="994"/>
      <c r="OVT3" s="994"/>
      <c r="OVU3" s="994"/>
      <c r="OVV3" s="994"/>
      <c r="OVW3" s="994"/>
      <c r="OVX3" s="994"/>
      <c r="OVY3" s="994"/>
      <c r="OVZ3" s="994"/>
      <c r="OWA3" s="994"/>
      <c r="OWB3" s="994"/>
      <c r="OWC3" s="994"/>
      <c r="OWD3" s="994"/>
      <c r="OWE3" s="994"/>
      <c r="OWF3" s="994"/>
      <c r="OWG3" s="994"/>
      <c r="OWH3" s="994"/>
      <c r="OWI3" s="994"/>
      <c r="OWJ3" s="994"/>
      <c r="OWK3" s="994"/>
      <c r="OWL3" s="994"/>
      <c r="OWM3" s="994"/>
      <c r="OWN3" s="994"/>
      <c r="OWO3" s="994"/>
      <c r="OWP3" s="994"/>
      <c r="OWQ3" s="994"/>
      <c r="OWR3" s="994"/>
      <c r="OWS3" s="994"/>
      <c r="OWT3" s="994"/>
      <c r="OWU3" s="994"/>
      <c r="OWV3" s="994"/>
      <c r="OWW3" s="994"/>
      <c r="OWX3" s="994"/>
      <c r="OWY3" s="994"/>
      <c r="OWZ3" s="994"/>
      <c r="OXA3" s="994"/>
      <c r="OXB3" s="994"/>
      <c r="OXC3" s="994"/>
      <c r="OXD3" s="994"/>
      <c r="OXE3" s="994"/>
      <c r="OXF3" s="994"/>
      <c r="OXG3" s="994"/>
      <c r="OXH3" s="994"/>
      <c r="OXI3" s="994"/>
      <c r="OXJ3" s="994"/>
      <c r="OXK3" s="994"/>
      <c r="OXL3" s="994"/>
      <c r="OXM3" s="994"/>
      <c r="OXN3" s="994"/>
      <c r="OXO3" s="994"/>
      <c r="OXP3" s="994"/>
      <c r="OXQ3" s="994"/>
      <c r="OXR3" s="994"/>
      <c r="OXS3" s="994"/>
      <c r="OXT3" s="994"/>
      <c r="OXU3" s="994"/>
      <c r="OXV3" s="994"/>
      <c r="OXW3" s="994"/>
      <c r="OXX3" s="994"/>
      <c r="OXY3" s="994"/>
      <c r="OXZ3" s="994"/>
      <c r="OYA3" s="994"/>
      <c r="OYB3" s="994"/>
      <c r="OYC3" s="994"/>
      <c r="OYD3" s="994"/>
      <c r="OYE3" s="994"/>
      <c r="OYF3" s="994"/>
      <c r="OYG3" s="994"/>
      <c r="OYH3" s="994"/>
      <c r="OYI3" s="994"/>
      <c r="OYJ3" s="994"/>
      <c r="OYK3" s="994"/>
      <c r="OYL3" s="994"/>
      <c r="OYM3" s="994"/>
      <c r="OYN3" s="994"/>
      <c r="OYO3" s="994"/>
      <c r="OYP3" s="994"/>
      <c r="OYQ3" s="994"/>
      <c r="OYR3" s="994"/>
      <c r="OYS3" s="994"/>
      <c r="OYT3" s="994"/>
      <c r="OYU3" s="994"/>
      <c r="OYV3" s="994"/>
      <c r="OYW3" s="994"/>
      <c r="OYX3" s="994"/>
      <c r="OYY3" s="994"/>
      <c r="OYZ3" s="994"/>
      <c r="OZA3" s="994"/>
      <c r="OZB3" s="994"/>
      <c r="OZC3" s="994"/>
      <c r="OZD3" s="994"/>
      <c r="OZE3" s="994"/>
      <c r="OZF3" s="994"/>
      <c r="OZG3" s="994"/>
      <c r="OZH3" s="994"/>
      <c r="OZI3" s="994"/>
      <c r="OZJ3" s="994"/>
      <c r="OZK3" s="994"/>
      <c r="OZL3" s="994"/>
      <c r="OZM3" s="994"/>
      <c r="OZN3" s="994"/>
      <c r="OZO3" s="994"/>
      <c r="OZP3" s="994"/>
      <c r="OZQ3" s="994"/>
      <c r="OZR3" s="994"/>
      <c r="OZS3" s="994"/>
      <c r="OZT3" s="994"/>
      <c r="OZU3" s="994"/>
      <c r="OZV3" s="994"/>
      <c r="OZW3" s="994"/>
      <c r="OZX3" s="994"/>
      <c r="OZY3" s="994"/>
      <c r="OZZ3" s="994"/>
      <c r="PAA3" s="994"/>
      <c r="PAB3" s="994"/>
      <c r="PAC3" s="994"/>
      <c r="PAD3" s="994"/>
      <c r="PAE3" s="994"/>
      <c r="PAF3" s="994"/>
      <c r="PAG3" s="994"/>
      <c r="PAH3" s="994"/>
      <c r="PAI3" s="994"/>
      <c r="PAJ3" s="994"/>
      <c r="PAK3" s="994"/>
      <c r="PAL3" s="994"/>
      <c r="PAM3" s="994"/>
      <c r="PAN3" s="994"/>
      <c r="PAO3" s="994"/>
      <c r="PAP3" s="994"/>
      <c r="PAQ3" s="994"/>
      <c r="PAR3" s="994"/>
      <c r="PAS3" s="994"/>
      <c r="PAT3" s="994"/>
      <c r="PAU3" s="994"/>
      <c r="PAV3" s="994"/>
      <c r="PAW3" s="994"/>
      <c r="PAX3" s="994"/>
      <c r="PAY3" s="994"/>
      <c r="PAZ3" s="994"/>
      <c r="PBA3" s="994"/>
      <c r="PBB3" s="994"/>
      <c r="PBC3" s="994"/>
      <c r="PBD3" s="994"/>
      <c r="PBE3" s="994"/>
      <c r="PBF3" s="994"/>
      <c r="PBG3" s="994"/>
      <c r="PBH3" s="994"/>
      <c r="PBI3" s="994"/>
      <c r="PBJ3" s="994"/>
      <c r="PBK3" s="994"/>
      <c r="PBL3" s="994"/>
      <c r="PBM3" s="994"/>
      <c r="PBN3" s="994"/>
      <c r="PBO3" s="994"/>
      <c r="PBP3" s="994"/>
      <c r="PBQ3" s="994"/>
      <c r="PBR3" s="994"/>
      <c r="PBS3" s="994"/>
      <c r="PBT3" s="994"/>
      <c r="PBU3" s="994"/>
      <c r="PBV3" s="994"/>
      <c r="PBW3" s="994"/>
      <c r="PBX3" s="994"/>
      <c r="PBY3" s="994"/>
      <c r="PBZ3" s="994"/>
      <c r="PCA3" s="994"/>
      <c r="PCB3" s="994"/>
      <c r="PCC3" s="994"/>
      <c r="PCD3" s="994"/>
      <c r="PCE3" s="994"/>
      <c r="PCF3" s="994"/>
      <c r="PCG3" s="994"/>
      <c r="PCH3" s="994"/>
      <c r="PCI3" s="994"/>
      <c r="PCJ3" s="994"/>
      <c r="PCK3" s="994"/>
      <c r="PCL3" s="994"/>
      <c r="PCM3" s="994"/>
      <c r="PCN3" s="994"/>
      <c r="PCO3" s="994"/>
      <c r="PCP3" s="994"/>
      <c r="PCQ3" s="994"/>
      <c r="PCR3" s="994"/>
      <c r="PCS3" s="994"/>
      <c r="PCT3" s="994"/>
      <c r="PCU3" s="994"/>
      <c r="PCV3" s="994"/>
      <c r="PCW3" s="994"/>
      <c r="PCX3" s="994"/>
      <c r="PCY3" s="994"/>
      <c r="PCZ3" s="994"/>
      <c r="PDA3" s="994"/>
      <c r="PDB3" s="994"/>
      <c r="PDC3" s="994"/>
      <c r="PDD3" s="994"/>
      <c r="PDE3" s="994"/>
      <c r="PDF3" s="994"/>
      <c r="PDG3" s="994"/>
      <c r="PDH3" s="994"/>
      <c r="PDI3" s="994"/>
      <c r="PDJ3" s="994"/>
      <c r="PDK3" s="994"/>
      <c r="PDL3" s="994"/>
      <c r="PDM3" s="994"/>
      <c r="PDN3" s="994"/>
      <c r="PDO3" s="994"/>
      <c r="PDP3" s="994"/>
      <c r="PDQ3" s="994"/>
      <c r="PDR3" s="994"/>
      <c r="PDS3" s="994"/>
      <c r="PDT3" s="994"/>
      <c r="PDU3" s="994"/>
      <c r="PDV3" s="994"/>
      <c r="PDW3" s="994"/>
      <c r="PDX3" s="994"/>
      <c r="PDY3" s="994"/>
      <c r="PDZ3" s="994"/>
      <c r="PEA3" s="994"/>
      <c r="PEB3" s="994"/>
      <c r="PEC3" s="994"/>
      <c r="PED3" s="994"/>
      <c r="PEE3" s="994"/>
      <c r="PEF3" s="994"/>
      <c r="PEG3" s="994"/>
      <c r="PEH3" s="994"/>
      <c r="PEI3" s="994"/>
      <c r="PEJ3" s="994"/>
      <c r="PEK3" s="994"/>
      <c r="PEL3" s="994"/>
      <c r="PEM3" s="994"/>
      <c r="PEN3" s="994"/>
      <c r="PEO3" s="994"/>
      <c r="PEP3" s="994"/>
      <c r="PEQ3" s="994"/>
      <c r="PER3" s="994"/>
      <c r="PES3" s="994"/>
      <c r="PET3" s="994"/>
      <c r="PEU3" s="994"/>
      <c r="PEV3" s="994"/>
      <c r="PEW3" s="994"/>
      <c r="PEX3" s="994"/>
      <c r="PEY3" s="994"/>
      <c r="PEZ3" s="994"/>
      <c r="PFA3" s="994"/>
      <c r="PFB3" s="994"/>
      <c r="PFC3" s="994"/>
      <c r="PFD3" s="994"/>
      <c r="PFE3" s="994"/>
      <c r="PFF3" s="994"/>
      <c r="PFG3" s="994"/>
      <c r="PFH3" s="994"/>
      <c r="PFI3" s="994"/>
      <c r="PFJ3" s="994"/>
      <c r="PFK3" s="994"/>
      <c r="PFL3" s="994"/>
      <c r="PFM3" s="994"/>
      <c r="PFN3" s="994"/>
      <c r="PFO3" s="994"/>
      <c r="PFP3" s="994"/>
      <c r="PFQ3" s="994"/>
      <c r="PFR3" s="994"/>
      <c r="PFS3" s="994"/>
      <c r="PFT3" s="994"/>
      <c r="PFU3" s="994"/>
      <c r="PFV3" s="994"/>
      <c r="PFW3" s="994"/>
      <c r="PFX3" s="994"/>
      <c r="PFY3" s="994"/>
      <c r="PFZ3" s="994"/>
      <c r="PGA3" s="994"/>
      <c r="PGB3" s="994"/>
      <c r="PGC3" s="994"/>
      <c r="PGD3" s="994"/>
      <c r="PGE3" s="994"/>
      <c r="PGF3" s="994"/>
      <c r="PGG3" s="994"/>
      <c r="PGH3" s="994"/>
      <c r="PGI3" s="994"/>
      <c r="PGJ3" s="994"/>
      <c r="PGK3" s="994"/>
      <c r="PGL3" s="994"/>
      <c r="PGM3" s="994"/>
      <c r="PGN3" s="994"/>
      <c r="PGO3" s="994"/>
      <c r="PGP3" s="994"/>
      <c r="PGQ3" s="994"/>
      <c r="PGR3" s="994"/>
      <c r="PGS3" s="994"/>
      <c r="PGT3" s="994"/>
      <c r="PGU3" s="994"/>
      <c r="PGV3" s="994"/>
      <c r="PGW3" s="994"/>
      <c r="PGX3" s="994"/>
      <c r="PGY3" s="994"/>
      <c r="PGZ3" s="994"/>
      <c r="PHA3" s="994"/>
      <c r="PHB3" s="994"/>
      <c r="PHC3" s="994"/>
      <c r="PHD3" s="994"/>
      <c r="PHE3" s="994"/>
      <c r="PHF3" s="994"/>
      <c r="PHG3" s="994"/>
      <c r="PHH3" s="994"/>
      <c r="PHI3" s="994"/>
      <c r="PHJ3" s="994"/>
      <c r="PHK3" s="994"/>
      <c r="PHL3" s="994"/>
      <c r="PHM3" s="994"/>
      <c r="PHN3" s="994"/>
      <c r="PHO3" s="994"/>
      <c r="PHP3" s="994"/>
      <c r="PHQ3" s="994"/>
      <c r="PHR3" s="994"/>
      <c r="PHS3" s="994"/>
      <c r="PHT3" s="994"/>
      <c r="PHU3" s="994"/>
      <c r="PHV3" s="994"/>
      <c r="PHW3" s="994"/>
      <c r="PHX3" s="994"/>
      <c r="PHY3" s="994"/>
      <c r="PHZ3" s="994"/>
      <c r="PIA3" s="994"/>
      <c r="PIB3" s="994"/>
      <c r="PIC3" s="994"/>
      <c r="PID3" s="994"/>
      <c r="PIE3" s="994"/>
      <c r="PIF3" s="994"/>
      <c r="PIG3" s="994"/>
      <c r="PIH3" s="994"/>
      <c r="PII3" s="994"/>
      <c r="PIJ3" s="994"/>
      <c r="PIK3" s="994"/>
      <c r="PIL3" s="994"/>
      <c r="PIM3" s="994"/>
      <c r="PIN3" s="994"/>
      <c r="PIO3" s="994"/>
      <c r="PIP3" s="994"/>
      <c r="PIQ3" s="994"/>
      <c r="PIR3" s="994"/>
      <c r="PIS3" s="994"/>
      <c r="PIT3" s="994"/>
      <c r="PIU3" s="994"/>
      <c r="PIV3" s="994"/>
      <c r="PIW3" s="994"/>
      <c r="PIX3" s="994"/>
      <c r="PIY3" s="994"/>
      <c r="PIZ3" s="994"/>
      <c r="PJA3" s="994"/>
      <c r="PJB3" s="994"/>
      <c r="PJC3" s="994"/>
      <c r="PJD3" s="994"/>
      <c r="PJE3" s="994"/>
      <c r="PJF3" s="994"/>
      <c r="PJG3" s="994"/>
      <c r="PJH3" s="994"/>
      <c r="PJI3" s="994"/>
      <c r="PJJ3" s="994"/>
      <c r="PJK3" s="994"/>
      <c r="PJL3" s="994"/>
      <c r="PJM3" s="994"/>
      <c r="PJN3" s="994"/>
      <c r="PJO3" s="994"/>
      <c r="PJP3" s="994"/>
      <c r="PJQ3" s="994"/>
      <c r="PJR3" s="994"/>
      <c r="PJS3" s="994"/>
      <c r="PJT3" s="994"/>
      <c r="PJU3" s="994"/>
      <c r="PJV3" s="994"/>
      <c r="PJW3" s="994"/>
      <c r="PJX3" s="994"/>
      <c r="PJY3" s="994"/>
      <c r="PJZ3" s="994"/>
      <c r="PKA3" s="994"/>
      <c r="PKB3" s="994"/>
      <c r="PKC3" s="994"/>
      <c r="PKD3" s="994"/>
      <c r="PKE3" s="994"/>
      <c r="PKF3" s="994"/>
      <c r="PKG3" s="994"/>
      <c r="PKH3" s="994"/>
      <c r="PKI3" s="994"/>
      <c r="PKJ3" s="994"/>
      <c r="PKK3" s="994"/>
      <c r="PKL3" s="994"/>
      <c r="PKM3" s="994"/>
      <c r="PKN3" s="994"/>
      <c r="PKO3" s="994"/>
      <c r="PKP3" s="994"/>
      <c r="PKQ3" s="994"/>
      <c r="PKR3" s="994"/>
      <c r="PKS3" s="994"/>
      <c r="PKT3" s="994"/>
      <c r="PKU3" s="994"/>
      <c r="PKV3" s="994"/>
      <c r="PKW3" s="994"/>
      <c r="PKX3" s="994"/>
      <c r="PKY3" s="994"/>
      <c r="PKZ3" s="994"/>
      <c r="PLA3" s="994"/>
      <c r="PLB3" s="994"/>
      <c r="PLC3" s="994"/>
      <c r="PLD3" s="994"/>
      <c r="PLE3" s="994"/>
      <c r="PLF3" s="994"/>
      <c r="PLG3" s="994"/>
      <c r="PLH3" s="994"/>
      <c r="PLI3" s="994"/>
      <c r="PLJ3" s="994"/>
      <c r="PLK3" s="994"/>
      <c r="PLL3" s="994"/>
      <c r="PLM3" s="994"/>
      <c r="PLN3" s="994"/>
      <c r="PLO3" s="994"/>
      <c r="PLP3" s="994"/>
      <c r="PLQ3" s="994"/>
      <c r="PLR3" s="994"/>
      <c r="PLS3" s="994"/>
      <c r="PLT3" s="994"/>
      <c r="PLU3" s="994"/>
      <c r="PLV3" s="994"/>
      <c r="PLW3" s="994"/>
      <c r="PLX3" s="994"/>
      <c r="PLY3" s="994"/>
      <c r="PLZ3" s="994"/>
      <c r="PMA3" s="994"/>
      <c r="PMB3" s="994"/>
      <c r="PMC3" s="994"/>
      <c r="PMD3" s="994"/>
      <c r="PME3" s="994"/>
      <c r="PMF3" s="994"/>
      <c r="PMG3" s="994"/>
      <c r="PMH3" s="994"/>
      <c r="PMI3" s="994"/>
      <c r="PMJ3" s="994"/>
      <c r="PMK3" s="994"/>
      <c r="PML3" s="994"/>
      <c r="PMM3" s="994"/>
      <c r="PMN3" s="994"/>
      <c r="PMO3" s="994"/>
      <c r="PMP3" s="994"/>
      <c r="PMQ3" s="994"/>
      <c r="PMR3" s="994"/>
      <c r="PMS3" s="994"/>
      <c r="PMT3" s="994"/>
      <c r="PMU3" s="994"/>
      <c r="PMV3" s="994"/>
      <c r="PMW3" s="994"/>
      <c r="PMX3" s="994"/>
      <c r="PMY3" s="994"/>
      <c r="PMZ3" s="994"/>
      <c r="PNA3" s="994"/>
      <c r="PNB3" s="994"/>
      <c r="PNC3" s="994"/>
      <c r="PND3" s="994"/>
      <c r="PNE3" s="994"/>
      <c r="PNF3" s="994"/>
      <c r="PNG3" s="994"/>
      <c r="PNH3" s="994"/>
      <c r="PNI3" s="994"/>
      <c r="PNJ3" s="994"/>
      <c r="PNK3" s="994"/>
      <c r="PNL3" s="994"/>
      <c r="PNM3" s="994"/>
      <c r="PNN3" s="994"/>
      <c r="PNO3" s="994"/>
      <c r="PNP3" s="994"/>
      <c r="PNQ3" s="994"/>
      <c r="PNR3" s="994"/>
      <c r="PNS3" s="994"/>
      <c r="PNT3" s="994"/>
      <c r="PNU3" s="994"/>
      <c r="PNV3" s="994"/>
      <c r="PNW3" s="994"/>
      <c r="PNX3" s="994"/>
      <c r="PNY3" s="994"/>
      <c r="PNZ3" s="994"/>
      <c r="POA3" s="994"/>
      <c r="POB3" s="994"/>
      <c r="POC3" s="994"/>
      <c r="POD3" s="994"/>
      <c r="POE3" s="994"/>
      <c r="POF3" s="994"/>
      <c r="POG3" s="994"/>
      <c r="POH3" s="994"/>
      <c r="POI3" s="994"/>
      <c r="POJ3" s="994"/>
      <c r="POK3" s="994"/>
      <c r="POL3" s="994"/>
      <c r="POM3" s="994"/>
      <c r="PON3" s="994"/>
      <c r="POO3" s="994"/>
      <c r="POP3" s="994"/>
      <c r="POQ3" s="994"/>
      <c r="POR3" s="994"/>
      <c r="POS3" s="994"/>
      <c r="POT3" s="994"/>
      <c r="POU3" s="994"/>
      <c r="POV3" s="994"/>
      <c r="POW3" s="994"/>
      <c r="POX3" s="994"/>
      <c r="POY3" s="994"/>
      <c r="POZ3" s="994"/>
      <c r="PPA3" s="994"/>
      <c r="PPB3" s="994"/>
      <c r="PPC3" s="994"/>
      <c r="PPD3" s="994"/>
      <c r="PPE3" s="994"/>
      <c r="PPF3" s="994"/>
      <c r="PPG3" s="994"/>
      <c r="PPH3" s="994"/>
      <c r="PPI3" s="994"/>
      <c r="PPJ3" s="994"/>
      <c r="PPK3" s="994"/>
      <c r="PPL3" s="994"/>
      <c r="PPM3" s="994"/>
      <c r="PPN3" s="994"/>
      <c r="PPO3" s="994"/>
      <c r="PPP3" s="994"/>
      <c r="PPQ3" s="994"/>
      <c r="PPR3" s="994"/>
      <c r="PPS3" s="994"/>
      <c r="PPT3" s="994"/>
      <c r="PPU3" s="994"/>
      <c r="PPV3" s="994"/>
      <c r="PPW3" s="994"/>
      <c r="PPX3" s="994"/>
      <c r="PPY3" s="994"/>
      <c r="PPZ3" s="994"/>
      <c r="PQA3" s="994"/>
      <c r="PQB3" s="994"/>
      <c r="PQC3" s="994"/>
      <c r="PQD3" s="994"/>
      <c r="PQE3" s="994"/>
      <c r="PQF3" s="994"/>
      <c r="PQG3" s="994"/>
      <c r="PQH3" s="994"/>
      <c r="PQI3" s="994"/>
      <c r="PQJ3" s="994"/>
      <c r="PQK3" s="994"/>
      <c r="PQL3" s="994"/>
      <c r="PQM3" s="994"/>
      <c r="PQN3" s="994"/>
      <c r="PQO3" s="994"/>
      <c r="PQP3" s="994"/>
      <c r="PQQ3" s="994"/>
      <c r="PQR3" s="994"/>
      <c r="PQS3" s="994"/>
      <c r="PQT3" s="994"/>
      <c r="PQU3" s="994"/>
      <c r="PQV3" s="994"/>
      <c r="PQW3" s="994"/>
      <c r="PQX3" s="994"/>
      <c r="PQY3" s="994"/>
      <c r="PQZ3" s="994"/>
      <c r="PRA3" s="994"/>
      <c r="PRB3" s="994"/>
      <c r="PRC3" s="994"/>
      <c r="PRD3" s="994"/>
      <c r="PRE3" s="994"/>
      <c r="PRF3" s="994"/>
      <c r="PRG3" s="994"/>
      <c r="PRH3" s="994"/>
      <c r="PRI3" s="994"/>
      <c r="PRJ3" s="994"/>
      <c r="PRK3" s="994"/>
      <c r="PRL3" s="994"/>
      <c r="PRM3" s="994"/>
      <c r="PRN3" s="994"/>
      <c r="PRO3" s="994"/>
      <c r="PRP3" s="994"/>
      <c r="PRQ3" s="994"/>
      <c r="PRR3" s="994"/>
      <c r="PRS3" s="994"/>
      <c r="PRT3" s="994"/>
      <c r="PRU3" s="994"/>
      <c r="PRV3" s="994"/>
      <c r="PRW3" s="994"/>
      <c r="PRX3" s="994"/>
      <c r="PRY3" s="994"/>
      <c r="PRZ3" s="994"/>
      <c r="PSA3" s="994"/>
      <c r="PSB3" s="994"/>
      <c r="PSC3" s="994"/>
      <c r="PSD3" s="994"/>
      <c r="PSE3" s="994"/>
      <c r="PSF3" s="994"/>
      <c r="PSG3" s="994"/>
      <c r="PSH3" s="994"/>
      <c r="PSI3" s="994"/>
      <c r="PSJ3" s="994"/>
      <c r="PSK3" s="994"/>
      <c r="PSL3" s="994"/>
      <c r="PSM3" s="994"/>
      <c r="PSN3" s="994"/>
      <c r="PSO3" s="994"/>
      <c r="PSP3" s="994"/>
      <c r="PSQ3" s="994"/>
      <c r="PSR3" s="994"/>
      <c r="PSS3" s="994"/>
      <c r="PST3" s="994"/>
      <c r="PSU3" s="994"/>
      <c r="PSV3" s="994"/>
      <c r="PSW3" s="994"/>
      <c r="PSX3" s="994"/>
      <c r="PSY3" s="994"/>
      <c r="PSZ3" s="994"/>
      <c r="PTA3" s="994"/>
      <c r="PTB3" s="994"/>
      <c r="PTC3" s="994"/>
      <c r="PTD3" s="994"/>
      <c r="PTE3" s="994"/>
      <c r="PTF3" s="994"/>
      <c r="PTG3" s="994"/>
      <c r="PTH3" s="994"/>
      <c r="PTI3" s="994"/>
      <c r="PTJ3" s="994"/>
      <c r="PTK3" s="994"/>
      <c r="PTL3" s="994"/>
      <c r="PTM3" s="994"/>
      <c r="PTN3" s="994"/>
      <c r="PTO3" s="994"/>
      <c r="PTP3" s="994"/>
      <c r="PTQ3" s="994"/>
      <c r="PTR3" s="994"/>
      <c r="PTS3" s="994"/>
      <c r="PTT3" s="994"/>
      <c r="PTU3" s="994"/>
      <c r="PTV3" s="994"/>
      <c r="PTW3" s="994"/>
      <c r="PTX3" s="994"/>
      <c r="PTY3" s="994"/>
      <c r="PTZ3" s="994"/>
      <c r="PUA3" s="994"/>
      <c r="PUB3" s="994"/>
      <c r="PUC3" s="994"/>
      <c r="PUD3" s="994"/>
      <c r="PUE3" s="994"/>
      <c r="PUF3" s="994"/>
      <c r="PUG3" s="994"/>
      <c r="PUH3" s="994"/>
      <c r="PUI3" s="994"/>
      <c r="PUJ3" s="994"/>
      <c r="PUK3" s="994"/>
      <c r="PUL3" s="994"/>
      <c r="PUM3" s="994"/>
      <c r="PUN3" s="994"/>
      <c r="PUO3" s="994"/>
      <c r="PUP3" s="994"/>
      <c r="PUQ3" s="994"/>
      <c r="PUR3" s="994"/>
      <c r="PUS3" s="994"/>
      <c r="PUT3" s="994"/>
      <c r="PUU3" s="994"/>
      <c r="PUV3" s="994"/>
      <c r="PUW3" s="994"/>
      <c r="PUX3" s="994"/>
      <c r="PUY3" s="994"/>
      <c r="PUZ3" s="994"/>
      <c r="PVA3" s="994"/>
      <c r="PVB3" s="994"/>
      <c r="PVC3" s="994"/>
      <c r="PVD3" s="994"/>
      <c r="PVE3" s="994"/>
      <c r="PVF3" s="994"/>
      <c r="PVG3" s="994"/>
      <c r="PVH3" s="994"/>
      <c r="PVI3" s="994"/>
      <c r="PVJ3" s="994"/>
      <c r="PVK3" s="994"/>
      <c r="PVL3" s="994"/>
      <c r="PVM3" s="994"/>
      <c r="PVN3" s="994"/>
      <c r="PVO3" s="994"/>
      <c r="PVP3" s="994"/>
      <c r="PVQ3" s="994"/>
      <c r="PVR3" s="994"/>
      <c r="PVS3" s="994"/>
      <c r="PVT3" s="994"/>
      <c r="PVU3" s="994"/>
      <c r="PVV3" s="994"/>
      <c r="PVW3" s="994"/>
      <c r="PVX3" s="994"/>
      <c r="PVY3" s="994"/>
      <c r="PVZ3" s="994"/>
      <c r="PWA3" s="994"/>
      <c r="PWB3" s="994"/>
      <c r="PWC3" s="994"/>
      <c r="PWD3" s="994"/>
      <c r="PWE3" s="994"/>
      <c r="PWF3" s="994"/>
      <c r="PWG3" s="994"/>
      <c r="PWH3" s="994"/>
      <c r="PWI3" s="994"/>
      <c r="PWJ3" s="994"/>
      <c r="PWK3" s="994"/>
      <c r="PWL3" s="994"/>
      <c r="PWM3" s="994"/>
      <c r="PWN3" s="994"/>
      <c r="PWO3" s="994"/>
      <c r="PWP3" s="994"/>
      <c r="PWQ3" s="994"/>
      <c r="PWR3" s="994"/>
      <c r="PWS3" s="994"/>
      <c r="PWT3" s="994"/>
      <c r="PWU3" s="994"/>
      <c r="PWV3" s="994"/>
      <c r="PWW3" s="994"/>
      <c r="PWX3" s="994"/>
      <c r="PWY3" s="994"/>
      <c r="PWZ3" s="994"/>
      <c r="PXA3" s="994"/>
      <c r="PXB3" s="994"/>
      <c r="PXC3" s="994"/>
      <c r="PXD3" s="994"/>
      <c r="PXE3" s="994"/>
      <c r="PXF3" s="994"/>
      <c r="PXG3" s="994"/>
      <c r="PXH3" s="994"/>
      <c r="PXI3" s="994"/>
      <c r="PXJ3" s="994"/>
      <c r="PXK3" s="994"/>
      <c r="PXL3" s="994"/>
      <c r="PXM3" s="994"/>
      <c r="PXN3" s="994"/>
      <c r="PXO3" s="994"/>
      <c r="PXP3" s="994"/>
      <c r="PXQ3" s="994"/>
      <c r="PXR3" s="994"/>
      <c r="PXS3" s="994"/>
      <c r="PXT3" s="994"/>
      <c r="PXU3" s="994"/>
      <c r="PXV3" s="994"/>
      <c r="PXW3" s="994"/>
      <c r="PXX3" s="994"/>
      <c r="PXY3" s="994"/>
      <c r="PXZ3" s="994"/>
      <c r="PYA3" s="994"/>
      <c r="PYB3" s="994"/>
      <c r="PYC3" s="994"/>
      <c r="PYD3" s="994"/>
      <c r="PYE3" s="994"/>
      <c r="PYF3" s="994"/>
      <c r="PYG3" s="994"/>
      <c r="PYH3" s="994"/>
      <c r="PYI3" s="994"/>
      <c r="PYJ3" s="994"/>
      <c r="PYK3" s="994"/>
      <c r="PYL3" s="994"/>
      <c r="PYM3" s="994"/>
      <c r="PYN3" s="994"/>
      <c r="PYO3" s="994"/>
      <c r="PYP3" s="994"/>
      <c r="PYQ3" s="994"/>
      <c r="PYR3" s="994"/>
      <c r="PYS3" s="994"/>
      <c r="PYT3" s="994"/>
      <c r="PYU3" s="994"/>
      <c r="PYV3" s="994"/>
      <c r="PYW3" s="994"/>
      <c r="PYX3" s="994"/>
      <c r="PYY3" s="994"/>
      <c r="PYZ3" s="994"/>
      <c r="PZA3" s="994"/>
      <c r="PZB3" s="994"/>
      <c r="PZC3" s="994"/>
      <c r="PZD3" s="994"/>
      <c r="PZE3" s="994"/>
      <c r="PZF3" s="994"/>
      <c r="PZG3" s="994"/>
      <c r="PZH3" s="994"/>
      <c r="PZI3" s="994"/>
      <c r="PZJ3" s="994"/>
      <c r="PZK3" s="994"/>
      <c r="PZL3" s="994"/>
      <c r="PZM3" s="994"/>
      <c r="PZN3" s="994"/>
      <c r="PZO3" s="994"/>
      <c r="PZP3" s="994"/>
      <c r="PZQ3" s="994"/>
      <c r="PZR3" s="994"/>
      <c r="PZS3" s="994"/>
      <c r="PZT3" s="994"/>
      <c r="PZU3" s="994"/>
      <c r="PZV3" s="994"/>
      <c r="PZW3" s="994"/>
      <c r="PZX3" s="994"/>
      <c r="PZY3" s="994"/>
      <c r="PZZ3" s="994"/>
      <c r="QAA3" s="994"/>
      <c r="QAB3" s="994"/>
      <c r="QAC3" s="994"/>
      <c r="QAD3" s="994"/>
      <c r="QAE3" s="994"/>
      <c r="QAF3" s="994"/>
      <c r="QAG3" s="994"/>
      <c r="QAH3" s="994"/>
      <c r="QAI3" s="994"/>
      <c r="QAJ3" s="994"/>
      <c r="QAK3" s="994"/>
      <c r="QAL3" s="994"/>
      <c r="QAM3" s="994"/>
      <c r="QAN3" s="994"/>
      <c r="QAO3" s="994"/>
      <c r="QAP3" s="994"/>
      <c r="QAQ3" s="994"/>
      <c r="QAR3" s="994"/>
      <c r="QAS3" s="994"/>
      <c r="QAT3" s="994"/>
      <c r="QAU3" s="994"/>
      <c r="QAV3" s="994"/>
      <c r="QAW3" s="994"/>
      <c r="QAX3" s="994"/>
      <c r="QAY3" s="994"/>
      <c r="QAZ3" s="994"/>
      <c r="QBA3" s="994"/>
      <c r="QBB3" s="994"/>
      <c r="QBC3" s="994"/>
      <c r="QBD3" s="994"/>
      <c r="QBE3" s="994"/>
      <c r="QBF3" s="994"/>
      <c r="QBG3" s="994"/>
      <c r="QBH3" s="994"/>
      <c r="QBI3" s="994"/>
      <c r="QBJ3" s="994"/>
      <c r="QBK3" s="994"/>
      <c r="QBL3" s="994"/>
      <c r="QBM3" s="994"/>
      <c r="QBN3" s="994"/>
      <c r="QBO3" s="994"/>
      <c r="QBP3" s="994"/>
      <c r="QBQ3" s="994"/>
      <c r="QBR3" s="994"/>
      <c r="QBS3" s="994"/>
      <c r="QBT3" s="994"/>
      <c r="QBU3" s="994"/>
      <c r="QBV3" s="994"/>
      <c r="QBW3" s="994"/>
      <c r="QBX3" s="994"/>
      <c r="QBY3" s="994"/>
      <c r="QBZ3" s="994"/>
      <c r="QCA3" s="994"/>
      <c r="QCB3" s="994"/>
      <c r="QCC3" s="994"/>
      <c r="QCD3" s="994"/>
      <c r="QCE3" s="994"/>
      <c r="QCF3" s="994"/>
      <c r="QCG3" s="994"/>
      <c r="QCH3" s="994"/>
      <c r="QCI3" s="994"/>
      <c r="QCJ3" s="994"/>
      <c r="QCK3" s="994"/>
      <c r="QCL3" s="994"/>
      <c r="QCM3" s="994"/>
      <c r="QCN3" s="994"/>
      <c r="QCO3" s="994"/>
      <c r="QCP3" s="994"/>
      <c r="QCQ3" s="994"/>
      <c r="QCR3" s="994"/>
      <c r="QCS3" s="994"/>
      <c r="QCT3" s="994"/>
      <c r="QCU3" s="994"/>
      <c r="QCV3" s="994"/>
      <c r="QCW3" s="994"/>
      <c r="QCX3" s="994"/>
      <c r="QCY3" s="994"/>
      <c r="QCZ3" s="994"/>
      <c r="QDA3" s="994"/>
      <c r="QDB3" s="994"/>
      <c r="QDC3" s="994"/>
      <c r="QDD3" s="994"/>
      <c r="QDE3" s="994"/>
      <c r="QDF3" s="994"/>
      <c r="QDG3" s="994"/>
      <c r="QDH3" s="994"/>
      <c r="QDI3" s="994"/>
      <c r="QDJ3" s="994"/>
      <c r="QDK3" s="994"/>
      <c r="QDL3" s="994"/>
      <c r="QDM3" s="994"/>
      <c r="QDN3" s="994"/>
      <c r="QDO3" s="994"/>
      <c r="QDP3" s="994"/>
      <c r="QDQ3" s="994"/>
      <c r="QDR3" s="994"/>
      <c r="QDS3" s="994"/>
      <c r="QDT3" s="994"/>
      <c r="QDU3" s="994"/>
      <c r="QDV3" s="994"/>
      <c r="QDW3" s="994"/>
      <c r="QDX3" s="994"/>
      <c r="QDY3" s="994"/>
      <c r="QDZ3" s="994"/>
      <c r="QEA3" s="994"/>
      <c r="QEB3" s="994"/>
      <c r="QEC3" s="994"/>
      <c r="QED3" s="994"/>
      <c r="QEE3" s="994"/>
      <c r="QEF3" s="994"/>
      <c r="QEG3" s="994"/>
      <c r="QEH3" s="994"/>
      <c r="QEI3" s="994"/>
      <c r="QEJ3" s="994"/>
      <c r="QEK3" s="994"/>
      <c r="QEL3" s="994"/>
      <c r="QEM3" s="994"/>
      <c r="QEN3" s="994"/>
      <c r="QEO3" s="994"/>
      <c r="QEP3" s="994"/>
      <c r="QEQ3" s="994"/>
      <c r="QER3" s="994"/>
      <c r="QES3" s="994"/>
      <c r="QET3" s="994"/>
      <c r="QEU3" s="994"/>
      <c r="QEV3" s="994"/>
      <c r="QEW3" s="994"/>
      <c r="QEX3" s="994"/>
      <c r="QEY3" s="994"/>
      <c r="QEZ3" s="994"/>
      <c r="QFA3" s="994"/>
      <c r="QFB3" s="994"/>
      <c r="QFC3" s="994"/>
      <c r="QFD3" s="994"/>
      <c r="QFE3" s="994"/>
      <c r="QFF3" s="994"/>
      <c r="QFG3" s="994"/>
      <c r="QFH3" s="994"/>
      <c r="QFI3" s="994"/>
      <c r="QFJ3" s="994"/>
      <c r="QFK3" s="994"/>
      <c r="QFL3" s="994"/>
      <c r="QFM3" s="994"/>
      <c r="QFN3" s="994"/>
      <c r="QFO3" s="994"/>
      <c r="QFP3" s="994"/>
      <c r="QFQ3" s="994"/>
      <c r="QFR3" s="994"/>
      <c r="QFS3" s="994"/>
      <c r="QFT3" s="994"/>
      <c r="QFU3" s="994"/>
      <c r="QFV3" s="994"/>
      <c r="QFW3" s="994"/>
      <c r="QFX3" s="994"/>
      <c r="QFY3" s="994"/>
      <c r="QFZ3" s="994"/>
      <c r="QGA3" s="994"/>
      <c r="QGB3" s="994"/>
      <c r="QGC3" s="994"/>
      <c r="QGD3" s="994"/>
      <c r="QGE3" s="994"/>
      <c r="QGF3" s="994"/>
      <c r="QGG3" s="994"/>
      <c r="QGH3" s="994"/>
      <c r="QGI3" s="994"/>
      <c r="QGJ3" s="994"/>
      <c r="QGK3" s="994"/>
      <c r="QGL3" s="994"/>
      <c r="QGM3" s="994"/>
      <c r="QGN3" s="994"/>
      <c r="QGO3" s="994"/>
      <c r="QGP3" s="994"/>
      <c r="QGQ3" s="994"/>
      <c r="QGR3" s="994"/>
      <c r="QGS3" s="994"/>
      <c r="QGT3" s="994"/>
      <c r="QGU3" s="994"/>
      <c r="QGV3" s="994"/>
      <c r="QGW3" s="994"/>
      <c r="QGX3" s="994"/>
      <c r="QGY3" s="994"/>
      <c r="QGZ3" s="994"/>
      <c r="QHA3" s="994"/>
      <c r="QHB3" s="994"/>
      <c r="QHC3" s="994"/>
      <c r="QHD3" s="994"/>
      <c r="QHE3" s="994"/>
      <c r="QHF3" s="994"/>
      <c r="QHG3" s="994"/>
      <c r="QHH3" s="994"/>
      <c r="QHI3" s="994"/>
      <c r="QHJ3" s="994"/>
      <c r="QHK3" s="994"/>
      <c r="QHL3" s="994"/>
      <c r="QHM3" s="994"/>
      <c r="QHN3" s="994"/>
      <c r="QHO3" s="994"/>
      <c r="QHP3" s="994"/>
      <c r="QHQ3" s="994"/>
      <c r="QHR3" s="994"/>
      <c r="QHS3" s="994"/>
      <c r="QHT3" s="994"/>
      <c r="QHU3" s="994"/>
      <c r="QHV3" s="994"/>
      <c r="QHW3" s="994"/>
      <c r="QHX3" s="994"/>
      <c r="QHY3" s="994"/>
      <c r="QHZ3" s="994"/>
      <c r="QIA3" s="994"/>
      <c r="QIB3" s="994"/>
      <c r="QIC3" s="994"/>
      <c r="QID3" s="994"/>
      <c r="QIE3" s="994"/>
      <c r="QIF3" s="994"/>
      <c r="QIG3" s="994"/>
      <c r="QIH3" s="994"/>
      <c r="QII3" s="994"/>
      <c r="QIJ3" s="994"/>
      <c r="QIK3" s="994"/>
      <c r="QIL3" s="994"/>
      <c r="QIM3" s="994"/>
      <c r="QIN3" s="994"/>
      <c r="QIO3" s="994"/>
      <c r="QIP3" s="994"/>
      <c r="QIQ3" s="994"/>
      <c r="QIR3" s="994"/>
      <c r="QIS3" s="994"/>
      <c r="QIT3" s="994"/>
      <c r="QIU3" s="994"/>
      <c r="QIV3" s="994"/>
      <c r="QIW3" s="994"/>
      <c r="QIX3" s="994"/>
      <c r="QIY3" s="994"/>
      <c r="QIZ3" s="994"/>
      <c r="QJA3" s="994"/>
      <c r="QJB3" s="994"/>
      <c r="QJC3" s="994"/>
      <c r="QJD3" s="994"/>
      <c r="QJE3" s="994"/>
      <c r="QJF3" s="994"/>
      <c r="QJG3" s="994"/>
      <c r="QJH3" s="994"/>
      <c r="QJI3" s="994"/>
      <c r="QJJ3" s="994"/>
      <c r="QJK3" s="994"/>
      <c r="QJL3" s="994"/>
      <c r="QJM3" s="994"/>
      <c r="QJN3" s="994"/>
      <c r="QJO3" s="994"/>
      <c r="QJP3" s="994"/>
      <c r="QJQ3" s="994"/>
      <c r="QJR3" s="994"/>
      <c r="QJS3" s="994"/>
      <c r="QJT3" s="994"/>
      <c r="QJU3" s="994"/>
      <c r="QJV3" s="994"/>
      <c r="QJW3" s="994"/>
      <c r="QJX3" s="994"/>
      <c r="QJY3" s="994"/>
      <c r="QJZ3" s="994"/>
      <c r="QKA3" s="994"/>
      <c r="QKB3" s="994"/>
      <c r="QKC3" s="994"/>
      <c r="QKD3" s="994"/>
      <c r="QKE3" s="994"/>
      <c r="QKF3" s="994"/>
      <c r="QKG3" s="994"/>
      <c r="QKH3" s="994"/>
      <c r="QKI3" s="994"/>
      <c r="QKJ3" s="994"/>
      <c r="QKK3" s="994"/>
      <c r="QKL3" s="994"/>
      <c r="QKM3" s="994"/>
      <c r="QKN3" s="994"/>
      <c r="QKO3" s="994"/>
      <c r="QKP3" s="994"/>
      <c r="QKQ3" s="994"/>
      <c r="QKR3" s="994"/>
      <c r="QKS3" s="994"/>
      <c r="QKT3" s="994"/>
      <c r="QKU3" s="994"/>
      <c r="QKV3" s="994"/>
      <c r="QKW3" s="994"/>
      <c r="QKX3" s="994"/>
      <c r="QKY3" s="994"/>
      <c r="QKZ3" s="994"/>
      <c r="QLA3" s="994"/>
      <c r="QLB3" s="994"/>
      <c r="QLC3" s="994"/>
      <c r="QLD3" s="994"/>
      <c r="QLE3" s="994"/>
      <c r="QLF3" s="994"/>
      <c r="QLG3" s="994"/>
      <c r="QLH3" s="994"/>
      <c r="QLI3" s="994"/>
      <c r="QLJ3" s="994"/>
      <c r="QLK3" s="994"/>
      <c r="QLL3" s="994"/>
      <c r="QLM3" s="994"/>
      <c r="QLN3" s="994"/>
      <c r="QLO3" s="994"/>
      <c r="QLP3" s="994"/>
      <c r="QLQ3" s="994"/>
      <c r="QLR3" s="994"/>
      <c r="QLS3" s="994"/>
      <c r="QLT3" s="994"/>
      <c r="QLU3" s="994"/>
      <c r="QLV3" s="994"/>
      <c r="QLW3" s="994"/>
      <c r="QLX3" s="994"/>
      <c r="QLY3" s="994"/>
      <c r="QLZ3" s="994"/>
      <c r="QMA3" s="994"/>
      <c r="QMB3" s="994"/>
      <c r="QMC3" s="994"/>
      <c r="QMD3" s="994"/>
      <c r="QME3" s="994"/>
      <c r="QMF3" s="994"/>
      <c r="QMG3" s="994"/>
      <c r="QMH3" s="994"/>
      <c r="QMI3" s="994"/>
      <c r="QMJ3" s="994"/>
      <c r="QMK3" s="994"/>
      <c r="QML3" s="994"/>
      <c r="QMM3" s="994"/>
      <c r="QMN3" s="994"/>
      <c r="QMO3" s="994"/>
      <c r="QMP3" s="994"/>
      <c r="QMQ3" s="994"/>
      <c r="QMR3" s="994"/>
      <c r="QMS3" s="994"/>
      <c r="QMT3" s="994"/>
      <c r="QMU3" s="994"/>
      <c r="QMV3" s="994"/>
      <c r="QMW3" s="994"/>
      <c r="QMX3" s="994"/>
      <c r="QMY3" s="994"/>
      <c r="QMZ3" s="994"/>
      <c r="QNA3" s="994"/>
      <c r="QNB3" s="994"/>
      <c r="QNC3" s="994"/>
      <c r="QND3" s="994"/>
      <c r="QNE3" s="994"/>
      <c r="QNF3" s="994"/>
      <c r="QNG3" s="994"/>
      <c r="QNH3" s="994"/>
      <c r="QNI3" s="994"/>
      <c r="QNJ3" s="994"/>
      <c r="QNK3" s="994"/>
      <c r="QNL3" s="994"/>
      <c r="QNM3" s="994"/>
      <c r="QNN3" s="994"/>
      <c r="QNO3" s="994"/>
      <c r="QNP3" s="994"/>
      <c r="QNQ3" s="994"/>
      <c r="QNR3" s="994"/>
      <c r="QNS3" s="994"/>
      <c r="QNT3" s="994"/>
      <c r="QNU3" s="994"/>
      <c r="QNV3" s="994"/>
      <c r="QNW3" s="994"/>
      <c r="QNX3" s="994"/>
      <c r="QNY3" s="994"/>
      <c r="QNZ3" s="994"/>
      <c r="QOA3" s="994"/>
      <c r="QOB3" s="994"/>
      <c r="QOC3" s="994"/>
      <c r="QOD3" s="994"/>
      <c r="QOE3" s="994"/>
      <c r="QOF3" s="994"/>
      <c r="QOG3" s="994"/>
      <c r="QOH3" s="994"/>
      <c r="QOI3" s="994"/>
      <c r="QOJ3" s="994"/>
      <c r="QOK3" s="994"/>
      <c r="QOL3" s="994"/>
      <c r="QOM3" s="994"/>
      <c r="QON3" s="994"/>
      <c r="QOO3" s="994"/>
      <c r="QOP3" s="994"/>
      <c r="QOQ3" s="994"/>
      <c r="QOR3" s="994"/>
      <c r="QOS3" s="994"/>
      <c r="QOT3" s="994"/>
      <c r="QOU3" s="994"/>
      <c r="QOV3" s="994"/>
      <c r="QOW3" s="994"/>
      <c r="QOX3" s="994"/>
      <c r="QOY3" s="994"/>
      <c r="QOZ3" s="994"/>
      <c r="QPA3" s="994"/>
      <c r="QPB3" s="994"/>
      <c r="QPC3" s="994"/>
      <c r="QPD3" s="994"/>
      <c r="QPE3" s="994"/>
      <c r="QPF3" s="994"/>
      <c r="QPG3" s="994"/>
      <c r="QPH3" s="994"/>
      <c r="QPI3" s="994"/>
      <c r="QPJ3" s="994"/>
      <c r="QPK3" s="994"/>
      <c r="QPL3" s="994"/>
      <c r="QPM3" s="994"/>
      <c r="QPN3" s="994"/>
      <c r="QPO3" s="994"/>
      <c r="QPP3" s="994"/>
      <c r="QPQ3" s="994"/>
      <c r="QPR3" s="994"/>
      <c r="QPS3" s="994"/>
      <c r="QPT3" s="994"/>
      <c r="QPU3" s="994"/>
      <c r="QPV3" s="994"/>
      <c r="QPW3" s="994"/>
      <c r="QPX3" s="994"/>
      <c r="QPY3" s="994"/>
      <c r="QPZ3" s="994"/>
      <c r="QQA3" s="994"/>
      <c r="QQB3" s="994"/>
      <c r="QQC3" s="994"/>
      <c r="QQD3" s="994"/>
      <c r="QQE3" s="994"/>
      <c r="QQF3" s="994"/>
      <c r="QQG3" s="994"/>
      <c r="QQH3" s="994"/>
      <c r="QQI3" s="994"/>
      <c r="QQJ3" s="994"/>
      <c r="QQK3" s="994"/>
      <c r="QQL3" s="994"/>
      <c r="QQM3" s="994"/>
      <c r="QQN3" s="994"/>
      <c r="QQO3" s="994"/>
      <c r="QQP3" s="994"/>
      <c r="QQQ3" s="994"/>
      <c r="QQR3" s="994"/>
      <c r="QQS3" s="994"/>
      <c r="QQT3" s="994"/>
      <c r="QQU3" s="994"/>
      <c r="QQV3" s="994"/>
      <c r="QQW3" s="994"/>
      <c r="QQX3" s="994"/>
      <c r="QQY3" s="994"/>
      <c r="QQZ3" s="994"/>
      <c r="QRA3" s="994"/>
      <c r="QRB3" s="994"/>
      <c r="QRC3" s="994"/>
      <c r="QRD3" s="994"/>
      <c r="QRE3" s="994"/>
      <c r="QRF3" s="994"/>
      <c r="QRG3" s="994"/>
      <c r="QRH3" s="994"/>
      <c r="QRI3" s="994"/>
      <c r="QRJ3" s="994"/>
      <c r="QRK3" s="994"/>
      <c r="QRL3" s="994"/>
      <c r="QRM3" s="994"/>
      <c r="QRN3" s="994"/>
      <c r="QRO3" s="994"/>
      <c r="QRP3" s="994"/>
      <c r="QRQ3" s="994"/>
      <c r="QRR3" s="994"/>
      <c r="QRS3" s="994"/>
      <c r="QRT3" s="994"/>
      <c r="QRU3" s="994"/>
      <c r="QRV3" s="994"/>
      <c r="QRW3" s="994"/>
      <c r="QRX3" s="994"/>
      <c r="QRY3" s="994"/>
      <c r="QRZ3" s="994"/>
      <c r="QSA3" s="994"/>
      <c r="QSB3" s="994"/>
      <c r="QSC3" s="994"/>
      <c r="QSD3" s="994"/>
      <c r="QSE3" s="994"/>
      <c r="QSF3" s="994"/>
      <c r="QSG3" s="994"/>
      <c r="QSH3" s="994"/>
      <c r="QSI3" s="994"/>
      <c r="QSJ3" s="994"/>
      <c r="QSK3" s="994"/>
      <c r="QSL3" s="994"/>
      <c r="QSM3" s="994"/>
      <c r="QSN3" s="994"/>
      <c r="QSO3" s="994"/>
      <c r="QSP3" s="994"/>
      <c r="QSQ3" s="994"/>
      <c r="QSR3" s="994"/>
      <c r="QSS3" s="994"/>
      <c r="QST3" s="994"/>
      <c r="QSU3" s="994"/>
      <c r="QSV3" s="994"/>
      <c r="QSW3" s="994"/>
      <c r="QSX3" s="994"/>
      <c r="QSY3" s="994"/>
      <c r="QSZ3" s="994"/>
      <c r="QTA3" s="994"/>
      <c r="QTB3" s="994"/>
      <c r="QTC3" s="994"/>
      <c r="QTD3" s="994"/>
      <c r="QTE3" s="994"/>
      <c r="QTF3" s="994"/>
      <c r="QTG3" s="994"/>
      <c r="QTH3" s="994"/>
      <c r="QTI3" s="994"/>
      <c r="QTJ3" s="994"/>
      <c r="QTK3" s="994"/>
      <c r="QTL3" s="994"/>
      <c r="QTM3" s="994"/>
      <c r="QTN3" s="994"/>
      <c r="QTO3" s="994"/>
      <c r="QTP3" s="994"/>
      <c r="QTQ3" s="994"/>
      <c r="QTR3" s="994"/>
      <c r="QTS3" s="994"/>
      <c r="QTT3" s="994"/>
      <c r="QTU3" s="994"/>
      <c r="QTV3" s="994"/>
      <c r="QTW3" s="994"/>
      <c r="QTX3" s="994"/>
      <c r="QTY3" s="994"/>
      <c r="QTZ3" s="994"/>
      <c r="QUA3" s="994"/>
      <c r="QUB3" s="994"/>
      <c r="QUC3" s="994"/>
      <c r="QUD3" s="994"/>
      <c r="QUE3" s="994"/>
      <c r="QUF3" s="994"/>
      <c r="QUG3" s="994"/>
      <c r="QUH3" s="994"/>
      <c r="QUI3" s="994"/>
      <c r="QUJ3" s="994"/>
      <c r="QUK3" s="994"/>
      <c r="QUL3" s="994"/>
      <c r="QUM3" s="994"/>
      <c r="QUN3" s="994"/>
      <c r="QUO3" s="994"/>
      <c r="QUP3" s="994"/>
      <c r="QUQ3" s="994"/>
      <c r="QUR3" s="994"/>
      <c r="QUS3" s="994"/>
      <c r="QUT3" s="994"/>
      <c r="QUU3" s="994"/>
      <c r="QUV3" s="994"/>
      <c r="QUW3" s="994"/>
      <c r="QUX3" s="994"/>
      <c r="QUY3" s="994"/>
      <c r="QUZ3" s="994"/>
      <c r="QVA3" s="994"/>
      <c r="QVB3" s="994"/>
      <c r="QVC3" s="994"/>
      <c r="QVD3" s="994"/>
      <c r="QVE3" s="994"/>
      <c r="QVF3" s="994"/>
      <c r="QVG3" s="994"/>
      <c r="QVH3" s="994"/>
      <c r="QVI3" s="994"/>
      <c r="QVJ3" s="994"/>
      <c r="QVK3" s="994"/>
      <c r="QVL3" s="994"/>
      <c r="QVM3" s="994"/>
      <c r="QVN3" s="994"/>
      <c r="QVO3" s="994"/>
      <c r="QVP3" s="994"/>
      <c r="QVQ3" s="994"/>
      <c r="QVR3" s="994"/>
      <c r="QVS3" s="994"/>
      <c r="QVT3" s="994"/>
      <c r="QVU3" s="994"/>
      <c r="QVV3" s="994"/>
      <c r="QVW3" s="994"/>
      <c r="QVX3" s="994"/>
      <c r="QVY3" s="994"/>
      <c r="QVZ3" s="994"/>
      <c r="QWA3" s="994"/>
      <c r="QWB3" s="994"/>
      <c r="QWC3" s="994"/>
      <c r="QWD3" s="994"/>
      <c r="QWE3" s="994"/>
      <c r="QWF3" s="994"/>
      <c r="QWG3" s="994"/>
      <c r="QWH3" s="994"/>
      <c r="QWI3" s="994"/>
      <c r="QWJ3" s="994"/>
      <c r="QWK3" s="994"/>
      <c r="QWL3" s="994"/>
      <c r="QWM3" s="994"/>
      <c r="QWN3" s="994"/>
      <c r="QWO3" s="994"/>
      <c r="QWP3" s="994"/>
      <c r="QWQ3" s="994"/>
      <c r="QWR3" s="994"/>
      <c r="QWS3" s="994"/>
      <c r="QWT3" s="994"/>
      <c r="QWU3" s="994"/>
      <c r="QWV3" s="994"/>
      <c r="QWW3" s="994"/>
      <c r="QWX3" s="994"/>
      <c r="QWY3" s="994"/>
      <c r="QWZ3" s="994"/>
      <c r="QXA3" s="994"/>
      <c r="QXB3" s="994"/>
      <c r="QXC3" s="994"/>
      <c r="QXD3" s="994"/>
      <c r="QXE3" s="994"/>
      <c r="QXF3" s="994"/>
      <c r="QXG3" s="994"/>
      <c r="QXH3" s="994"/>
      <c r="QXI3" s="994"/>
      <c r="QXJ3" s="994"/>
      <c r="QXK3" s="994"/>
      <c r="QXL3" s="994"/>
      <c r="QXM3" s="994"/>
      <c r="QXN3" s="994"/>
      <c r="QXO3" s="994"/>
      <c r="QXP3" s="994"/>
      <c r="QXQ3" s="994"/>
      <c r="QXR3" s="994"/>
      <c r="QXS3" s="994"/>
      <c r="QXT3" s="994"/>
      <c r="QXU3" s="994"/>
      <c r="QXV3" s="994"/>
      <c r="QXW3" s="994"/>
      <c r="QXX3" s="994"/>
      <c r="QXY3" s="994"/>
      <c r="QXZ3" s="994"/>
      <c r="QYA3" s="994"/>
      <c r="QYB3" s="994"/>
      <c r="QYC3" s="994"/>
      <c r="QYD3" s="994"/>
      <c r="QYE3" s="994"/>
      <c r="QYF3" s="994"/>
      <c r="QYG3" s="994"/>
      <c r="QYH3" s="994"/>
      <c r="QYI3" s="994"/>
      <c r="QYJ3" s="994"/>
      <c r="QYK3" s="994"/>
      <c r="QYL3" s="994"/>
      <c r="QYM3" s="994"/>
      <c r="QYN3" s="994"/>
      <c r="QYO3" s="994"/>
      <c r="QYP3" s="994"/>
      <c r="QYQ3" s="994"/>
      <c r="QYR3" s="994"/>
      <c r="QYS3" s="994"/>
      <c r="QYT3" s="994"/>
      <c r="QYU3" s="994"/>
      <c r="QYV3" s="994"/>
      <c r="QYW3" s="994"/>
      <c r="QYX3" s="994"/>
      <c r="QYY3" s="994"/>
      <c r="QYZ3" s="994"/>
      <c r="QZA3" s="994"/>
      <c r="QZB3" s="994"/>
      <c r="QZC3" s="994"/>
      <c r="QZD3" s="994"/>
      <c r="QZE3" s="994"/>
      <c r="QZF3" s="994"/>
      <c r="QZG3" s="994"/>
      <c r="QZH3" s="994"/>
      <c r="QZI3" s="994"/>
      <c r="QZJ3" s="994"/>
      <c r="QZK3" s="994"/>
      <c r="QZL3" s="994"/>
      <c r="QZM3" s="994"/>
      <c r="QZN3" s="994"/>
      <c r="QZO3" s="994"/>
      <c r="QZP3" s="994"/>
      <c r="QZQ3" s="994"/>
      <c r="QZR3" s="994"/>
      <c r="QZS3" s="994"/>
      <c r="QZT3" s="994"/>
      <c r="QZU3" s="994"/>
      <c r="QZV3" s="994"/>
      <c r="QZW3" s="994"/>
      <c r="QZX3" s="994"/>
      <c r="QZY3" s="994"/>
      <c r="QZZ3" s="994"/>
      <c r="RAA3" s="994"/>
      <c r="RAB3" s="994"/>
      <c r="RAC3" s="994"/>
      <c r="RAD3" s="994"/>
      <c r="RAE3" s="994"/>
      <c r="RAF3" s="994"/>
      <c r="RAG3" s="994"/>
      <c r="RAH3" s="994"/>
      <c r="RAI3" s="994"/>
      <c r="RAJ3" s="994"/>
      <c r="RAK3" s="994"/>
      <c r="RAL3" s="994"/>
      <c r="RAM3" s="994"/>
      <c r="RAN3" s="994"/>
      <c r="RAO3" s="994"/>
      <c r="RAP3" s="994"/>
      <c r="RAQ3" s="994"/>
      <c r="RAR3" s="994"/>
      <c r="RAS3" s="994"/>
      <c r="RAT3" s="994"/>
      <c r="RAU3" s="994"/>
      <c r="RAV3" s="994"/>
      <c r="RAW3" s="994"/>
      <c r="RAX3" s="994"/>
      <c r="RAY3" s="994"/>
      <c r="RAZ3" s="994"/>
      <c r="RBA3" s="994"/>
      <c r="RBB3" s="994"/>
      <c r="RBC3" s="994"/>
      <c r="RBD3" s="994"/>
      <c r="RBE3" s="994"/>
      <c r="RBF3" s="994"/>
      <c r="RBG3" s="994"/>
      <c r="RBH3" s="994"/>
      <c r="RBI3" s="994"/>
      <c r="RBJ3" s="994"/>
      <c r="RBK3" s="994"/>
      <c r="RBL3" s="994"/>
      <c r="RBM3" s="994"/>
      <c r="RBN3" s="994"/>
      <c r="RBO3" s="994"/>
      <c r="RBP3" s="994"/>
      <c r="RBQ3" s="994"/>
      <c r="RBR3" s="994"/>
      <c r="RBS3" s="994"/>
      <c r="RBT3" s="994"/>
      <c r="RBU3" s="994"/>
      <c r="RBV3" s="994"/>
      <c r="RBW3" s="994"/>
      <c r="RBX3" s="994"/>
      <c r="RBY3" s="994"/>
      <c r="RBZ3" s="994"/>
      <c r="RCA3" s="994"/>
      <c r="RCB3" s="994"/>
      <c r="RCC3" s="994"/>
      <c r="RCD3" s="994"/>
      <c r="RCE3" s="994"/>
      <c r="RCF3" s="994"/>
      <c r="RCG3" s="994"/>
      <c r="RCH3" s="994"/>
      <c r="RCI3" s="994"/>
      <c r="RCJ3" s="994"/>
      <c r="RCK3" s="994"/>
      <c r="RCL3" s="994"/>
      <c r="RCM3" s="994"/>
      <c r="RCN3" s="994"/>
      <c r="RCO3" s="994"/>
      <c r="RCP3" s="994"/>
      <c r="RCQ3" s="994"/>
      <c r="RCR3" s="994"/>
      <c r="RCS3" s="994"/>
      <c r="RCT3" s="994"/>
      <c r="RCU3" s="994"/>
      <c r="RCV3" s="994"/>
      <c r="RCW3" s="994"/>
      <c r="RCX3" s="994"/>
      <c r="RCY3" s="994"/>
      <c r="RCZ3" s="994"/>
      <c r="RDA3" s="994"/>
      <c r="RDB3" s="994"/>
      <c r="RDC3" s="994"/>
      <c r="RDD3" s="994"/>
      <c r="RDE3" s="994"/>
      <c r="RDF3" s="994"/>
      <c r="RDG3" s="994"/>
      <c r="RDH3" s="994"/>
      <c r="RDI3" s="994"/>
      <c r="RDJ3" s="994"/>
      <c r="RDK3" s="994"/>
      <c r="RDL3" s="994"/>
      <c r="RDM3" s="994"/>
      <c r="RDN3" s="994"/>
      <c r="RDO3" s="994"/>
      <c r="RDP3" s="994"/>
      <c r="RDQ3" s="994"/>
      <c r="RDR3" s="994"/>
      <c r="RDS3" s="994"/>
      <c r="RDT3" s="994"/>
      <c r="RDU3" s="994"/>
      <c r="RDV3" s="994"/>
      <c r="RDW3" s="994"/>
      <c r="RDX3" s="994"/>
      <c r="RDY3" s="994"/>
      <c r="RDZ3" s="994"/>
      <c r="REA3" s="994"/>
      <c r="REB3" s="994"/>
      <c r="REC3" s="994"/>
      <c r="RED3" s="994"/>
      <c r="REE3" s="994"/>
      <c r="REF3" s="994"/>
      <c r="REG3" s="994"/>
      <c r="REH3" s="994"/>
      <c r="REI3" s="994"/>
      <c r="REJ3" s="994"/>
      <c r="REK3" s="994"/>
      <c r="REL3" s="994"/>
      <c r="REM3" s="994"/>
      <c r="REN3" s="994"/>
      <c r="REO3" s="994"/>
      <c r="REP3" s="994"/>
      <c r="REQ3" s="994"/>
      <c r="RER3" s="994"/>
      <c r="RES3" s="994"/>
      <c r="RET3" s="994"/>
      <c r="REU3" s="994"/>
      <c r="REV3" s="994"/>
      <c r="REW3" s="994"/>
      <c r="REX3" s="994"/>
      <c r="REY3" s="994"/>
      <c r="REZ3" s="994"/>
      <c r="RFA3" s="994"/>
      <c r="RFB3" s="994"/>
      <c r="RFC3" s="994"/>
      <c r="RFD3" s="994"/>
      <c r="RFE3" s="994"/>
      <c r="RFF3" s="994"/>
      <c r="RFG3" s="994"/>
      <c r="RFH3" s="994"/>
      <c r="RFI3" s="994"/>
      <c r="RFJ3" s="994"/>
      <c r="RFK3" s="994"/>
      <c r="RFL3" s="994"/>
      <c r="RFM3" s="994"/>
      <c r="RFN3" s="994"/>
      <c r="RFO3" s="994"/>
      <c r="RFP3" s="994"/>
      <c r="RFQ3" s="994"/>
      <c r="RFR3" s="994"/>
      <c r="RFS3" s="994"/>
      <c r="RFT3" s="994"/>
      <c r="RFU3" s="994"/>
      <c r="RFV3" s="994"/>
      <c r="RFW3" s="994"/>
      <c r="RFX3" s="994"/>
      <c r="RFY3" s="994"/>
      <c r="RFZ3" s="994"/>
      <c r="RGA3" s="994"/>
      <c r="RGB3" s="994"/>
      <c r="RGC3" s="994"/>
      <c r="RGD3" s="994"/>
      <c r="RGE3" s="994"/>
      <c r="RGF3" s="994"/>
      <c r="RGG3" s="994"/>
      <c r="RGH3" s="994"/>
      <c r="RGI3" s="994"/>
      <c r="RGJ3" s="994"/>
      <c r="RGK3" s="994"/>
      <c r="RGL3" s="994"/>
      <c r="RGM3" s="994"/>
      <c r="RGN3" s="994"/>
      <c r="RGO3" s="994"/>
      <c r="RGP3" s="994"/>
      <c r="RGQ3" s="994"/>
      <c r="RGR3" s="994"/>
      <c r="RGS3" s="994"/>
      <c r="RGT3" s="994"/>
      <c r="RGU3" s="994"/>
      <c r="RGV3" s="994"/>
      <c r="RGW3" s="994"/>
      <c r="RGX3" s="994"/>
      <c r="RGY3" s="994"/>
      <c r="RGZ3" s="994"/>
      <c r="RHA3" s="994"/>
      <c r="RHB3" s="994"/>
      <c r="RHC3" s="994"/>
      <c r="RHD3" s="994"/>
      <c r="RHE3" s="994"/>
      <c r="RHF3" s="994"/>
      <c r="RHG3" s="994"/>
      <c r="RHH3" s="994"/>
      <c r="RHI3" s="994"/>
      <c r="RHJ3" s="994"/>
      <c r="RHK3" s="994"/>
      <c r="RHL3" s="994"/>
      <c r="RHM3" s="994"/>
      <c r="RHN3" s="994"/>
      <c r="RHO3" s="994"/>
      <c r="RHP3" s="994"/>
      <c r="RHQ3" s="994"/>
      <c r="RHR3" s="994"/>
      <c r="RHS3" s="994"/>
      <c r="RHT3" s="994"/>
      <c r="RHU3" s="994"/>
      <c r="RHV3" s="994"/>
      <c r="RHW3" s="994"/>
      <c r="RHX3" s="994"/>
      <c r="RHY3" s="994"/>
      <c r="RHZ3" s="994"/>
      <c r="RIA3" s="994"/>
      <c r="RIB3" s="994"/>
      <c r="RIC3" s="994"/>
      <c r="RID3" s="994"/>
      <c r="RIE3" s="994"/>
      <c r="RIF3" s="994"/>
      <c r="RIG3" s="994"/>
      <c r="RIH3" s="994"/>
      <c r="RII3" s="994"/>
      <c r="RIJ3" s="994"/>
      <c r="RIK3" s="994"/>
      <c r="RIL3" s="994"/>
      <c r="RIM3" s="994"/>
      <c r="RIN3" s="994"/>
      <c r="RIO3" s="994"/>
      <c r="RIP3" s="994"/>
      <c r="RIQ3" s="994"/>
      <c r="RIR3" s="994"/>
      <c r="RIS3" s="994"/>
      <c r="RIT3" s="994"/>
      <c r="RIU3" s="994"/>
      <c r="RIV3" s="994"/>
      <c r="RIW3" s="994"/>
      <c r="RIX3" s="994"/>
      <c r="RIY3" s="994"/>
      <c r="RIZ3" s="994"/>
      <c r="RJA3" s="994"/>
      <c r="RJB3" s="994"/>
      <c r="RJC3" s="994"/>
      <c r="RJD3" s="994"/>
      <c r="RJE3" s="994"/>
      <c r="RJF3" s="994"/>
      <c r="RJG3" s="994"/>
      <c r="RJH3" s="994"/>
      <c r="RJI3" s="994"/>
      <c r="RJJ3" s="994"/>
      <c r="RJK3" s="994"/>
      <c r="RJL3" s="994"/>
      <c r="RJM3" s="994"/>
      <c r="RJN3" s="994"/>
      <c r="RJO3" s="994"/>
      <c r="RJP3" s="994"/>
      <c r="RJQ3" s="994"/>
      <c r="RJR3" s="994"/>
      <c r="RJS3" s="994"/>
      <c r="RJT3" s="994"/>
      <c r="RJU3" s="994"/>
      <c r="RJV3" s="994"/>
      <c r="RJW3" s="994"/>
      <c r="RJX3" s="994"/>
      <c r="RJY3" s="994"/>
      <c r="RJZ3" s="994"/>
      <c r="RKA3" s="994"/>
      <c r="RKB3" s="994"/>
      <c r="RKC3" s="994"/>
      <c r="RKD3" s="994"/>
      <c r="RKE3" s="994"/>
      <c r="RKF3" s="994"/>
      <c r="RKG3" s="994"/>
      <c r="RKH3" s="994"/>
      <c r="RKI3" s="994"/>
      <c r="RKJ3" s="994"/>
      <c r="RKK3" s="994"/>
      <c r="RKL3" s="994"/>
      <c r="RKM3" s="994"/>
      <c r="RKN3" s="994"/>
      <c r="RKO3" s="994"/>
      <c r="RKP3" s="994"/>
      <c r="RKQ3" s="994"/>
      <c r="RKR3" s="994"/>
      <c r="RKS3" s="994"/>
      <c r="RKT3" s="994"/>
      <c r="RKU3" s="994"/>
      <c r="RKV3" s="994"/>
      <c r="RKW3" s="994"/>
      <c r="RKX3" s="994"/>
      <c r="RKY3" s="994"/>
      <c r="RKZ3" s="994"/>
      <c r="RLA3" s="994"/>
      <c r="RLB3" s="994"/>
      <c r="RLC3" s="994"/>
      <c r="RLD3" s="994"/>
      <c r="RLE3" s="994"/>
      <c r="RLF3" s="994"/>
      <c r="RLG3" s="994"/>
      <c r="RLH3" s="994"/>
      <c r="RLI3" s="994"/>
      <c r="RLJ3" s="994"/>
      <c r="RLK3" s="994"/>
      <c r="RLL3" s="994"/>
      <c r="RLM3" s="994"/>
      <c r="RLN3" s="994"/>
      <c r="RLO3" s="994"/>
      <c r="RLP3" s="994"/>
      <c r="RLQ3" s="994"/>
      <c r="RLR3" s="994"/>
      <c r="RLS3" s="994"/>
      <c r="RLT3" s="994"/>
      <c r="RLU3" s="994"/>
      <c r="RLV3" s="994"/>
      <c r="RLW3" s="994"/>
      <c r="RLX3" s="994"/>
      <c r="RLY3" s="994"/>
      <c r="RLZ3" s="994"/>
      <c r="RMA3" s="994"/>
      <c r="RMB3" s="994"/>
      <c r="RMC3" s="994"/>
      <c r="RMD3" s="994"/>
      <c r="RME3" s="994"/>
      <c r="RMF3" s="994"/>
      <c r="RMG3" s="994"/>
      <c r="RMH3" s="994"/>
      <c r="RMI3" s="994"/>
      <c r="RMJ3" s="994"/>
      <c r="RMK3" s="994"/>
      <c r="RML3" s="994"/>
      <c r="RMM3" s="994"/>
      <c r="RMN3" s="994"/>
      <c r="RMO3" s="994"/>
      <c r="RMP3" s="994"/>
      <c r="RMQ3" s="994"/>
      <c r="RMR3" s="994"/>
      <c r="RMS3" s="994"/>
      <c r="RMT3" s="994"/>
      <c r="RMU3" s="994"/>
      <c r="RMV3" s="994"/>
      <c r="RMW3" s="994"/>
      <c r="RMX3" s="994"/>
      <c r="RMY3" s="994"/>
      <c r="RMZ3" s="994"/>
      <c r="RNA3" s="994"/>
      <c r="RNB3" s="994"/>
      <c r="RNC3" s="994"/>
      <c r="RND3" s="994"/>
      <c r="RNE3" s="994"/>
      <c r="RNF3" s="994"/>
      <c r="RNG3" s="994"/>
      <c r="RNH3" s="994"/>
      <c r="RNI3" s="994"/>
      <c r="RNJ3" s="994"/>
      <c r="RNK3" s="994"/>
      <c r="RNL3" s="994"/>
      <c r="RNM3" s="994"/>
      <c r="RNN3" s="994"/>
      <c r="RNO3" s="994"/>
      <c r="RNP3" s="994"/>
      <c r="RNQ3" s="994"/>
      <c r="RNR3" s="994"/>
      <c r="RNS3" s="994"/>
      <c r="RNT3" s="994"/>
      <c r="RNU3" s="994"/>
      <c r="RNV3" s="994"/>
      <c r="RNW3" s="994"/>
      <c r="RNX3" s="994"/>
      <c r="RNY3" s="994"/>
      <c r="RNZ3" s="994"/>
      <c r="ROA3" s="994"/>
      <c r="ROB3" s="994"/>
      <c r="ROC3" s="994"/>
      <c r="ROD3" s="994"/>
      <c r="ROE3" s="994"/>
      <c r="ROF3" s="994"/>
      <c r="ROG3" s="994"/>
      <c r="ROH3" s="994"/>
      <c r="ROI3" s="994"/>
      <c r="ROJ3" s="994"/>
      <c r="ROK3" s="994"/>
      <c r="ROL3" s="994"/>
      <c r="ROM3" s="994"/>
      <c r="RON3" s="994"/>
      <c r="ROO3" s="994"/>
      <c r="ROP3" s="994"/>
      <c r="ROQ3" s="994"/>
      <c r="ROR3" s="994"/>
      <c r="ROS3" s="994"/>
      <c r="ROT3" s="994"/>
      <c r="ROU3" s="994"/>
      <c r="ROV3" s="994"/>
      <c r="ROW3" s="994"/>
      <c r="ROX3" s="994"/>
      <c r="ROY3" s="994"/>
      <c r="ROZ3" s="994"/>
      <c r="RPA3" s="994"/>
      <c r="RPB3" s="994"/>
      <c r="RPC3" s="994"/>
      <c r="RPD3" s="994"/>
      <c r="RPE3" s="994"/>
      <c r="RPF3" s="994"/>
      <c r="RPG3" s="994"/>
      <c r="RPH3" s="994"/>
      <c r="RPI3" s="994"/>
      <c r="RPJ3" s="994"/>
      <c r="RPK3" s="994"/>
      <c r="RPL3" s="994"/>
      <c r="RPM3" s="994"/>
      <c r="RPN3" s="994"/>
      <c r="RPO3" s="994"/>
      <c r="RPP3" s="994"/>
      <c r="RPQ3" s="994"/>
      <c r="RPR3" s="994"/>
      <c r="RPS3" s="994"/>
      <c r="RPT3" s="994"/>
      <c r="RPU3" s="994"/>
      <c r="RPV3" s="994"/>
      <c r="RPW3" s="994"/>
      <c r="RPX3" s="994"/>
      <c r="RPY3" s="994"/>
      <c r="RPZ3" s="994"/>
      <c r="RQA3" s="994"/>
      <c r="RQB3" s="994"/>
      <c r="RQC3" s="994"/>
      <c r="RQD3" s="994"/>
      <c r="RQE3" s="994"/>
      <c r="RQF3" s="994"/>
      <c r="RQG3" s="994"/>
      <c r="RQH3" s="994"/>
      <c r="RQI3" s="994"/>
      <c r="RQJ3" s="994"/>
      <c r="RQK3" s="994"/>
      <c r="RQL3" s="994"/>
      <c r="RQM3" s="994"/>
      <c r="RQN3" s="994"/>
      <c r="RQO3" s="994"/>
      <c r="RQP3" s="994"/>
      <c r="RQQ3" s="994"/>
      <c r="RQR3" s="994"/>
      <c r="RQS3" s="994"/>
      <c r="RQT3" s="994"/>
      <c r="RQU3" s="994"/>
      <c r="RQV3" s="994"/>
      <c r="RQW3" s="994"/>
      <c r="RQX3" s="994"/>
      <c r="RQY3" s="994"/>
      <c r="RQZ3" s="994"/>
      <c r="RRA3" s="994"/>
      <c r="RRB3" s="994"/>
      <c r="RRC3" s="994"/>
      <c r="RRD3" s="994"/>
      <c r="RRE3" s="994"/>
      <c r="RRF3" s="994"/>
      <c r="RRG3" s="994"/>
      <c r="RRH3" s="994"/>
      <c r="RRI3" s="994"/>
      <c r="RRJ3" s="994"/>
      <c r="RRK3" s="994"/>
      <c r="RRL3" s="994"/>
      <c r="RRM3" s="994"/>
      <c r="RRN3" s="994"/>
      <c r="RRO3" s="994"/>
      <c r="RRP3" s="994"/>
      <c r="RRQ3" s="994"/>
      <c r="RRR3" s="994"/>
      <c r="RRS3" s="994"/>
      <c r="RRT3" s="994"/>
      <c r="RRU3" s="994"/>
      <c r="RRV3" s="994"/>
      <c r="RRW3" s="994"/>
      <c r="RRX3" s="994"/>
      <c r="RRY3" s="994"/>
      <c r="RRZ3" s="994"/>
      <c r="RSA3" s="994"/>
      <c r="RSB3" s="994"/>
      <c r="RSC3" s="994"/>
      <c r="RSD3" s="994"/>
      <c r="RSE3" s="994"/>
      <c r="RSF3" s="994"/>
      <c r="RSG3" s="994"/>
      <c r="RSH3" s="994"/>
      <c r="RSI3" s="994"/>
      <c r="RSJ3" s="994"/>
      <c r="RSK3" s="994"/>
      <c r="RSL3" s="994"/>
      <c r="RSM3" s="994"/>
      <c r="RSN3" s="994"/>
      <c r="RSO3" s="994"/>
      <c r="RSP3" s="994"/>
      <c r="RSQ3" s="994"/>
      <c r="RSR3" s="994"/>
      <c r="RSS3" s="994"/>
      <c r="RST3" s="994"/>
      <c r="RSU3" s="994"/>
      <c r="RSV3" s="994"/>
      <c r="RSW3" s="994"/>
      <c r="RSX3" s="994"/>
      <c r="RSY3" s="994"/>
      <c r="RSZ3" s="994"/>
      <c r="RTA3" s="994"/>
      <c r="RTB3" s="994"/>
      <c r="RTC3" s="994"/>
      <c r="RTD3" s="994"/>
      <c r="RTE3" s="994"/>
      <c r="RTF3" s="994"/>
      <c r="RTG3" s="994"/>
      <c r="RTH3" s="994"/>
      <c r="RTI3" s="994"/>
      <c r="RTJ3" s="994"/>
      <c r="RTK3" s="994"/>
      <c r="RTL3" s="994"/>
      <c r="RTM3" s="994"/>
      <c r="RTN3" s="994"/>
      <c r="RTO3" s="994"/>
      <c r="RTP3" s="994"/>
      <c r="RTQ3" s="994"/>
      <c r="RTR3" s="994"/>
      <c r="RTS3" s="994"/>
      <c r="RTT3" s="994"/>
      <c r="RTU3" s="994"/>
      <c r="RTV3" s="994"/>
      <c r="RTW3" s="994"/>
      <c r="RTX3" s="994"/>
      <c r="RTY3" s="994"/>
      <c r="RTZ3" s="994"/>
      <c r="RUA3" s="994"/>
      <c r="RUB3" s="994"/>
      <c r="RUC3" s="994"/>
      <c r="RUD3" s="994"/>
      <c r="RUE3" s="994"/>
      <c r="RUF3" s="994"/>
      <c r="RUG3" s="994"/>
      <c r="RUH3" s="994"/>
      <c r="RUI3" s="994"/>
      <c r="RUJ3" s="994"/>
      <c r="RUK3" s="994"/>
      <c r="RUL3" s="994"/>
      <c r="RUM3" s="994"/>
      <c r="RUN3" s="994"/>
      <c r="RUO3" s="994"/>
      <c r="RUP3" s="994"/>
      <c r="RUQ3" s="994"/>
      <c r="RUR3" s="994"/>
      <c r="RUS3" s="994"/>
      <c r="RUT3" s="994"/>
      <c r="RUU3" s="994"/>
      <c r="RUV3" s="994"/>
      <c r="RUW3" s="994"/>
      <c r="RUX3" s="994"/>
      <c r="RUY3" s="994"/>
      <c r="RUZ3" s="994"/>
      <c r="RVA3" s="994"/>
      <c r="RVB3" s="994"/>
      <c r="RVC3" s="994"/>
      <c r="RVD3" s="994"/>
      <c r="RVE3" s="994"/>
      <c r="RVF3" s="994"/>
      <c r="RVG3" s="994"/>
      <c r="RVH3" s="994"/>
      <c r="RVI3" s="994"/>
      <c r="RVJ3" s="994"/>
      <c r="RVK3" s="994"/>
      <c r="RVL3" s="994"/>
      <c r="RVM3" s="994"/>
      <c r="RVN3" s="994"/>
      <c r="RVO3" s="994"/>
      <c r="RVP3" s="994"/>
      <c r="RVQ3" s="994"/>
      <c r="RVR3" s="994"/>
      <c r="RVS3" s="994"/>
      <c r="RVT3" s="994"/>
      <c r="RVU3" s="994"/>
      <c r="RVV3" s="994"/>
      <c r="RVW3" s="994"/>
      <c r="RVX3" s="994"/>
      <c r="RVY3" s="994"/>
      <c r="RVZ3" s="994"/>
      <c r="RWA3" s="994"/>
      <c r="RWB3" s="994"/>
      <c r="RWC3" s="994"/>
      <c r="RWD3" s="994"/>
      <c r="RWE3" s="994"/>
      <c r="RWF3" s="994"/>
      <c r="RWG3" s="994"/>
      <c r="RWH3" s="994"/>
      <c r="RWI3" s="994"/>
      <c r="RWJ3" s="994"/>
      <c r="RWK3" s="994"/>
      <c r="RWL3" s="994"/>
      <c r="RWM3" s="994"/>
      <c r="RWN3" s="994"/>
      <c r="RWO3" s="994"/>
      <c r="RWP3" s="994"/>
      <c r="RWQ3" s="994"/>
      <c r="RWR3" s="994"/>
      <c r="RWS3" s="994"/>
      <c r="RWT3" s="994"/>
      <c r="RWU3" s="994"/>
      <c r="RWV3" s="994"/>
      <c r="RWW3" s="994"/>
      <c r="RWX3" s="994"/>
      <c r="RWY3" s="994"/>
      <c r="RWZ3" s="994"/>
      <c r="RXA3" s="994"/>
      <c r="RXB3" s="994"/>
      <c r="RXC3" s="994"/>
      <c r="RXD3" s="994"/>
      <c r="RXE3" s="994"/>
      <c r="RXF3" s="994"/>
      <c r="RXG3" s="994"/>
      <c r="RXH3" s="994"/>
      <c r="RXI3" s="994"/>
      <c r="RXJ3" s="994"/>
      <c r="RXK3" s="994"/>
      <c r="RXL3" s="994"/>
      <c r="RXM3" s="994"/>
      <c r="RXN3" s="994"/>
      <c r="RXO3" s="994"/>
      <c r="RXP3" s="994"/>
      <c r="RXQ3" s="994"/>
      <c r="RXR3" s="994"/>
      <c r="RXS3" s="994"/>
      <c r="RXT3" s="994"/>
      <c r="RXU3" s="994"/>
      <c r="RXV3" s="994"/>
      <c r="RXW3" s="994"/>
      <c r="RXX3" s="994"/>
      <c r="RXY3" s="994"/>
      <c r="RXZ3" s="994"/>
      <c r="RYA3" s="994"/>
      <c r="RYB3" s="994"/>
      <c r="RYC3" s="994"/>
      <c r="RYD3" s="994"/>
      <c r="RYE3" s="994"/>
      <c r="RYF3" s="994"/>
      <c r="RYG3" s="994"/>
      <c r="RYH3" s="994"/>
      <c r="RYI3" s="994"/>
      <c r="RYJ3" s="994"/>
      <c r="RYK3" s="994"/>
      <c r="RYL3" s="994"/>
      <c r="RYM3" s="994"/>
      <c r="RYN3" s="994"/>
      <c r="RYO3" s="994"/>
      <c r="RYP3" s="994"/>
      <c r="RYQ3" s="994"/>
      <c r="RYR3" s="994"/>
      <c r="RYS3" s="994"/>
      <c r="RYT3" s="994"/>
      <c r="RYU3" s="994"/>
      <c r="RYV3" s="994"/>
      <c r="RYW3" s="994"/>
      <c r="RYX3" s="994"/>
      <c r="RYY3" s="994"/>
      <c r="RYZ3" s="994"/>
      <c r="RZA3" s="994"/>
      <c r="RZB3" s="994"/>
      <c r="RZC3" s="994"/>
      <c r="RZD3" s="994"/>
      <c r="RZE3" s="994"/>
      <c r="RZF3" s="994"/>
      <c r="RZG3" s="994"/>
      <c r="RZH3" s="994"/>
      <c r="RZI3" s="994"/>
      <c r="RZJ3" s="994"/>
      <c r="RZK3" s="994"/>
      <c r="RZL3" s="994"/>
      <c r="RZM3" s="994"/>
      <c r="RZN3" s="994"/>
      <c r="RZO3" s="994"/>
      <c r="RZP3" s="994"/>
      <c r="RZQ3" s="994"/>
      <c r="RZR3" s="994"/>
      <c r="RZS3" s="994"/>
      <c r="RZT3" s="994"/>
      <c r="RZU3" s="994"/>
      <c r="RZV3" s="994"/>
      <c r="RZW3" s="994"/>
      <c r="RZX3" s="994"/>
      <c r="RZY3" s="994"/>
      <c r="RZZ3" s="994"/>
      <c r="SAA3" s="994"/>
      <c r="SAB3" s="994"/>
      <c r="SAC3" s="994"/>
      <c r="SAD3" s="994"/>
      <c r="SAE3" s="994"/>
      <c r="SAF3" s="994"/>
      <c r="SAG3" s="994"/>
      <c r="SAH3" s="994"/>
      <c r="SAI3" s="994"/>
      <c r="SAJ3" s="994"/>
      <c r="SAK3" s="994"/>
      <c r="SAL3" s="994"/>
      <c r="SAM3" s="994"/>
      <c r="SAN3" s="994"/>
      <c r="SAO3" s="994"/>
      <c r="SAP3" s="994"/>
      <c r="SAQ3" s="994"/>
      <c r="SAR3" s="994"/>
      <c r="SAS3" s="994"/>
      <c r="SAT3" s="994"/>
      <c r="SAU3" s="994"/>
      <c r="SAV3" s="994"/>
      <c r="SAW3" s="994"/>
      <c r="SAX3" s="994"/>
      <c r="SAY3" s="994"/>
      <c r="SAZ3" s="994"/>
      <c r="SBA3" s="994"/>
      <c r="SBB3" s="994"/>
      <c r="SBC3" s="994"/>
      <c r="SBD3" s="994"/>
      <c r="SBE3" s="994"/>
      <c r="SBF3" s="994"/>
      <c r="SBG3" s="994"/>
      <c r="SBH3" s="994"/>
      <c r="SBI3" s="994"/>
      <c r="SBJ3" s="994"/>
      <c r="SBK3" s="994"/>
      <c r="SBL3" s="994"/>
      <c r="SBM3" s="994"/>
      <c r="SBN3" s="994"/>
      <c r="SBO3" s="994"/>
      <c r="SBP3" s="994"/>
      <c r="SBQ3" s="994"/>
      <c r="SBR3" s="994"/>
      <c r="SBS3" s="994"/>
      <c r="SBT3" s="994"/>
      <c r="SBU3" s="994"/>
      <c r="SBV3" s="994"/>
      <c r="SBW3" s="994"/>
      <c r="SBX3" s="994"/>
      <c r="SBY3" s="994"/>
      <c r="SBZ3" s="994"/>
      <c r="SCA3" s="994"/>
      <c r="SCB3" s="994"/>
      <c r="SCC3" s="994"/>
      <c r="SCD3" s="994"/>
      <c r="SCE3" s="994"/>
      <c r="SCF3" s="994"/>
      <c r="SCG3" s="994"/>
      <c r="SCH3" s="994"/>
      <c r="SCI3" s="994"/>
      <c r="SCJ3" s="994"/>
      <c r="SCK3" s="994"/>
      <c r="SCL3" s="994"/>
      <c r="SCM3" s="994"/>
      <c r="SCN3" s="994"/>
      <c r="SCO3" s="994"/>
      <c r="SCP3" s="994"/>
      <c r="SCQ3" s="994"/>
      <c r="SCR3" s="994"/>
      <c r="SCS3" s="994"/>
      <c r="SCT3" s="994"/>
      <c r="SCU3" s="994"/>
      <c r="SCV3" s="994"/>
      <c r="SCW3" s="994"/>
      <c r="SCX3" s="994"/>
      <c r="SCY3" s="994"/>
      <c r="SCZ3" s="994"/>
      <c r="SDA3" s="994"/>
      <c r="SDB3" s="994"/>
      <c r="SDC3" s="994"/>
      <c r="SDD3" s="994"/>
      <c r="SDE3" s="994"/>
      <c r="SDF3" s="994"/>
      <c r="SDG3" s="994"/>
      <c r="SDH3" s="994"/>
      <c r="SDI3" s="994"/>
      <c r="SDJ3" s="994"/>
      <c r="SDK3" s="994"/>
      <c r="SDL3" s="994"/>
      <c r="SDM3" s="994"/>
      <c r="SDN3" s="994"/>
      <c r="SDO3" s="994"/>
      <c r="SDP3" s="994"/>
      <c r="SDQ3" s="994"/>
      <c r="SDR3" s="994"/>
      <c r="SDS3" s="994"/>
      <c r="SDT3" s="994"/>
      <c r="SDU3" s="994"/>
      <c r="SDV3" s="994"/>
      <c r="SDW3" s="994"/>
      <c r="SDX3" s="994"/>
      <c r="SDY3" s="994"/>
      <c r="SDZ3" s="994"/>
      <c r="SEA3" s="994"/>
      <c r="SEB3" s="994"/>
      <c r="SEC3" s="994"/>
      <c r="SED3" s="994"/>
      <c r="SEE3" s="994"/>
      <c r="SEF3" s="994"/>
      <c r="SEG3" s="994"/>
      <c r="SEH3" s="994"/>
      <c r="SEI3" s="994"/>
      <c r="SEJ3" s="994"/>
      <c r="SEK3" s="994"/>
      <c r="SEL3" s="994"/>
      <c r="SEM3" s="994"/>
      <c r="SEN3" s="994"/>
      <c r="SEO3" s="994"/>
      <c r="SEP3" s="994"/>
      <c r="SEQ3" s="994"/>
      <c r="SER3" s="994"/>
      <c r="SES3" s="994"/>
      <c r="SET3" s="994"/>
      <c r="SEU3" s="994"/>
      <c r="SEV3" s="994"/>
      <c r="SEW3" s="994"/>
      <c r="SEX3" s="994"/>
      <c r="SEY3" s="994"/>
      <c r="SEZ3" s="994"/>
      <c r="SFA3" s="994"/>
      <c r="SFB3" s="994"/>
      <c r="SFC3" s="994"/>
      <c r="SFD3" s="994"/>
      <c r="SFE3" s="994"/>
      <c r="SFF3" s="994"/>
      <c r="SFG3" s="994"/>
      <c r="SFH3" s="994"/>
      <c r="SFI3" s="994"/>
      <c r="SFJ3" s="994"/>
      <c r="SFK3" s="994"/>
      <c r="SFL3" s="994"/>
      <c r="SFM3" s="994"/>
      <c r="SFN3" s="994"/>
      <c r="SFO3" s="994"/>
      <c r="SFP3" s="994"/>
      <c r="SFQ3" s="994"/>
      <c r="SFR3" s="994"/>
      <c r="SFS3" s="994"/>
      <c r="SFT3" s="994"/>
      <c r="SFU3" s="994"/>
      <c r="SFV3" s="994"/>
      <c r="SFW3" s="994"/>
      <c r="SFX3" s="994"/>
      <c r="SFY3" s="994"/>
      <c r="SFZ3" s="994"/>
      <c r="SGA3" s="994"/>
      <c r="SGB3" s="994"/>
      <c r="SGC3" s="994"/>
      <c r="SGD3" s="994"/>
      <c r="SGE3" s="994"/>
      <c r="SGF3" s="994"/>
      <c r="SGG3" s="994"/>
      <c r="SGH3" s="994"/>
      <c r="SGI3" s="994"/>
      <c r="SGJ3" s="994"/>
      <c r="SGK3" s="994"/>
      <c r="SGL3" s="994"/>
      <c r="SGM3" s="994"/>
      <c r="SGN3" s="994"/>
      <c r="SGO3" s="994"/>
      <c r="SGP3" s="994"/>
      <c r="SGQ3" s="994"/>
      <c r="SGR3" s="994"/>
      <c r="SGS3" s="994"/>
      <c r="SGT3" s="994"/>
      <c r="SGU3" s="994"/>
      <c r="SGV3" s="994"/>
      <c r="SGW3" s="994"/>
      <c r="SGX3" s="994"/>
      <c r="SGY3" s="994"/>
      <c r="SGZ3" s="994"/>
      <c r="SHA3" s="994"/>
      <c r="SHB3" s="994"/>
      <c r="SHC3" s="994"/>
      <c r="SHD3" s="994"/>
      <c r="SHE3" s="994"/>
      <c r="SHF3" s="994"/>
      <c r="SHG3" s="994"/>
      <c r="SHH3" s="994"/>
      <c r="SHI3" s="994"/>
      <c r="SHJ3" s="994"/>
      <c r="SHK3" s="994"/>
      <c r="SHL3" s="994"/>
      <c r="SHM3" s="994"/>
      <c r="SHN3" s="994"/>
      <c r="SHO3" s="994"/>
      <c r="SHP3" s="994"/>
      <c r="SHQ3" s="994"/>
      <c r="SHR3" s="994"/>
      <c r="SHS3" s="994"/>
      <c r="SHT3" s="994"/>
      <c r="SHU3" s="994"/>
      <c r="SHV3" s="994"/>
      <c r="SHW3" s="994"/>
      <c r="SHX3" s="994"/>
      <c r="SHY3" s="994"/>
      <c r="SHZ3" s="994"/>
      <c r="SIA3" s="994"/>
      <c r="SIB3" s="994"/>
      <c r="SIC3" s="994"/>
      <c r="SID3" s="994"/>
      <c r="SIE3" s="994"/>
      <c r="SIF3" s="994"/>
      <c r="SIG3" s="994"/>
      <c r="SIH3" s="994"/>
      <c r="SII3" s="994"/>
      <c r="SIJ3" s="994"/>
      <c r="SIK3" s="994"/>
      <c r="SIL3" s="994"/>
      <c r="SIM3" s="994"/>
      <c r="SIN3" s="994"/>
      <c r="SIO3" s="994"/>
      <c r="SIP3" s="994"/>
      <c r="SIQ3" s="994"/>
      <c r="SIR3" s="994"/>
      <c r="SIS3" s="994"/>
      <c r="SIT3" s="994"/>
      <c r="SIU3" s="994"/>
      <c r="SIV3" s="994"/>
      <c r="SIW3" s="994"/>
      <c r="SIX3" s="994"/>
      <c r="SIY3" s="994"/>
      <c r="SIZ3" s="994"/>
      <c r="SJA3" s="994"/>
      <c r="SJB3" s="994"/>
      <c r="SJC3" s="994"/>
      <c r="SJD3" s="994"/>
      <c r="SJE3" s="994"/>
      <c r="SJF3" s="994"/>
      <c r="SJG3" s="994"/>
      <c r="SJH3" s="994"/>
      <c r="SJI3" s="994"/>
      <c r="SJJ3" s="994"/>
      <c r="SJK3" s="994"/>
      <c r="SJL3" s="994"/>
      <c r="SJM3" s="994"/>
      <c r="SJN3" s="994"/>
      <c r="SJO3" s="994"/>
      <c r="SJP3" s="994"/>
      <c r="SJQ3" s="994"/>
      <c r="SJR3" s="994"/>
      <c r="SJS3" s="994"/>
      <c r="SJT3" s="994"/>
      <c r="SJU3" s="994"/>
      <c r="SJV3" s="994"/>
      <c r="SJW3" s="994"/>
      <c r="SJX3" s="994"/>
      <c r="SJY3" s="994"/>
      <c r="SJZ3" s="994"/>
      <c r="SKA3" s="994"/>
      <c r="SKB3" s="994"/>
      <c r="SKC3" s="994"/>
      <c r="SKD3" s="994"/>
      <c r="SKE3" s="994"/>
      <c r="SKF3" s="994"/>
      <c r="SKG3" s="994"/>
      <c r="SKH3" s="994"/>
      <c r="SKI3" s="994"/>
      <c r="SKJ3" s="994"/>
      <c r="SKK3" s="994"/>
      <c r="SKL3" s="994"/>
      <c r="SKM3" s="994"/>
      <c r="SKN3" s="994"/>
      <c r="SKO3" s="994"/>
      <c r="SKP3" s="994"/>
      <c r="SKQ3" s="994"/>
      <c r="SKR3" s="994"/>
      <c r="SKS3" s="994"/>
      <c r="SKT3" s="994"/>
      <c r="SKU3" s="994"/>
      <c r="SKV3" s="994"/>
      <c r="SKW3" s="994"/>
      <c r="SKX3" s="994"/>
      <c r="SKY3" s="994"/>
      <c r="SKZ3" s="994"/>
      <c r="SLA3" s="994"/>
      <c r="SLB3" s="994"/>
      <c r="SLC3" s="994"/>
      <c r="SLD3" s="994"/>
      <c r="SLE3" s="994"/>
      <c r="SLF3" s="994"/>
      <c r="SLG3" s="994"/>
      <c r="SLH3" s="994"/>
      <c r="SLI3" s="994"/>
      <c r="SLJ3" s="994"/>
      <c r="SLK3" s="994"/>
      <c r="SLL3" s="994"/>
      <c r="SLM3" s="994"/>
      <c r="SLN3" s="994"/>
      <c r="SLO3" s="994"/>
      <c r="SLP3" s="994"/>
      <c r="SLQ3" s="994"/>
      <c r="SLR3" s="994"/>
      <c r="SLS3" s="994"/>
      <c r="SLT3" s="994"/>
      <c r="SLU3" s="994"/>
      <c r="SLV3" s="994"/>
      <c r="SLW3" s="994"/>
      <c r="SLX3" s="994"/>
      <c r="SLY3" s="994"/>
      <c r="SLZ3" s="994"/>
      <c r="SMA3" s="994"/>
      <c r="SMB3" s="994"/>
      <c r="SMC3" s="994"/>
      <c r="SMD3" s="994"/>
      <c r="SME3" s="994"/>
      <c r="SMF3" s="994"/>
      <c r="SMG3" s="994"/>
      <c r="SMH3" s="994"/>
      <c r="SMI3" s="994"/>
      <c r="SMJ3" s="994"/>
      <c r="SMK3" s="994"/>
      <c r="SML3" s="994"/>
      <c r="SMM3" s="994"/>
      <c r="SMN3" s="994"/>
      <c r="SMO3" s="994"/>
      <c r="SMP3" s="994"/>
      <c r="SMQ3" s="994"/>
      <c r="SMR3" s="994"/>
      <c r="SMS3" s="994"/>
      <c r="SMT3" s="994"/>
      <c r="SMU3" s="994"/>
      <c r="SMV3" s="994"/>
      <c r="SMW3" s="994"/>
      <c r="SMX3" s="994"/>
      <c r="SMY3" s="994"/>
      <c r="SMZ3" s="994"/>
      <c r="SNA3" s="994"/>
      <c r="SNB3" s="994"/>
      <c r="SNC3" s="994"/>
      <c r="SND3" s="994"/>
      <c r="SNE3" s="994"/>
      <c r="SNF3" s="994"/>
      <c r="SNG3" s="994"/>
      <c r="SNH3" s="994"/>
      <c r="SNI3" s="994"/>
      <c r="SNJ3" s="994"/>
      <c r="SNK3" s="994"/>
      <c r="SNL3" s="994"/>
      <c r="SNM3" s="994"/>
      <c r="SNN3" s="994"/>
      <c r="SNO3" s="994"/>
      <c r="SNP3" s="994"/>
      <c r="SNQ3" s="994"/>
      <c r="SNR3" s="994"/>
      <c r="SNS3" s="994"/>
      <c r="SNT3" s="994"/>
      <c r="SNU3" s="994"/>
      <c r="SNV3" s="994"/>
      <c r="SNW3" s="994"/>
      <c r="SNX3" s="994"/>
      <c r="SNY3" s="994"/>
      <c r="SNZ3" s="994"/>
      <c r="SOA3" s="994"/>
      <c r="SOB3" s="994"/>
      <c r="SOC3" s="994"/>
      <c r="SOD3" s="994"/>
      <c r="SOE3" s="994"/>
      <c r="SOF3" s="994"/>
      <c r="SOG3" s="994"/>
      <c r="SOH3" s="994"/>
      <c r="SOI3" s="994"/>
      <c r="SOJ3" s="994"/>
      <c r="SOK3" s="994"/>
      <c r="SOL3" s="994"/>
      <c r="SOM3" s="994"/>
      <c r="SON3" s="994"/>
      <c r="SOO3" s="994"/>
      <c r="SOP3" s="994"/>
      <c r="SOQ3" s="994"/>
      <c r="SOR3" s="994"/>
      <c r="SOS3" s="994"/>
      <c r="SOT3" s="994"/>
      <c r="SOU3" s="994"/>
      <c r="SOV3" s="994"/>
      <c r="SOW3" s="994"/>
      <c r="SOX3" s="994"/>
      <c r="SOY3" s="994"/>
      <c r="SOZ3" s="994"/>
      <c r="SPA3" s="994"/>
      <c r="SPB3" s="994"/>
      <c r="SPC3" s="994"/>
      <c r="SPD3" s="994"/>
      <c r="SPE3" s="994"/>
      <c r="SPF3" s="994"/>
      <c r="SPG3" s="994"/>
      <c r="SPH3" s="994"/>
      <c r="SPI3" s="994"/>
      <c r="SPJ3" s="994"/>
      <c r="SPK3" s="994"/>
      <c r="SPL3" s="994"/>
      <c r="SPM3" s="994"/>
      <c r="SPN3" s="994"/>
      <c r="SPO3" s="994"/>
      <c r="SPP3" s="994"/>
      <c r="SPQ3" s="994"/>
      <c r="SPR3" s="994"/>
      <c r="SPS3" s="994"/>
      <c r="SPT3" s="994"/>
      <c r="SPU3" s="994"/>
      <c r="SPV3" s="994"/>
      <c r="SPW3" s="994"/>
      <c r="SPX3" s="994"/>
      <c r="SPY3" s="994"/>
      <c r="SPZ3" s="994"/>
      <c r="SQA3" s="994"/>
      <c r="SQB3" s="994"/>
      <c r="SQC3" s="994"/>
      <c r="SQD3" s="994"/>
      <c r="SQE3" s="994"/>
      <c r="SQF3" s="994"/>
      <c r="SQG3" s="994"/>
      <c r="SQH3" s="994"/>
      <c r="SQI3" s="994"/>
      <c r="SQJ3" s="994"/>
      <c r="SQK3" s="994"/>
      <c r="SQL3" s="994"/>
      <c r="SQM3" s="994"/>
      <c r="SQN3" s="994"/>
      <c r="SQO3" s="994"/>
      <c r="SQP3" s="994"/>
      <c r="SQQ3" s="994"/>
      <c r="SQR3" s="994"/>
      <c r="SQS3" s="994"/>
      <c r="SQT3" s="994"/>
      <c r="SQU3" s="994"/>
      <c r="SQV3" s="994"/>
      <c r="SQW3" s="994"/>
      <c r="SQX3" s="994"/>
      <c r="SQY3" s="994"/>
      <c r="SQZ3" s="994"/>
      <c r="SRA3" s="994"/>
      <c r="SRB3" s="994"/>
      <c r="SRC3" s="994"/>
      <c r="SRD3" s="994"/>
      <c r="SRE3" s="994"/>
      <c r="SRF3" s="994"/>
      <c r="SRG3" s="994"/>
      <c r="SRH3" s="994"/>
      <c r="SRI3" s="994"/>
      <c r="SRJ3" s="994"/>
      <c r="SRK3" s="994"/>
      <c r="SRL3" s="994"/>
      <c r="SRM3" s="994"/>
      <c r="SRN3" s="994"/>
      <c r="SRO3" s="994"/>
      <c r="SRP3" s="994"/>
      <c r="SRQ3" s="994"/>
      <c r="SRR3" s="994"/>
      <c r="SRS3" s="994"/>
      <c r="SRT3" s="994"/>
      <c r="SRU3" s="994"/>
      <c r="SRV3" s="994"/>
      <c r="SRW3" s="994"/>
      <c r="SRX3" s="994"/>
      <c r="SRY3" s="994"/>
      <c r="SRZ3" s="994"/>
      <c r="SSA3" s="994"/>
      <c r="SSB3" s="994"/>
      <c r="SSC3" s="994"/>
      <c r="SSD3" s="994"/>
      <c r="SSE3" s="994"/>
      <c r="SSF3" s="994"/>
      <c r="SSG3" s="994"/>
      <c r="SSH3" s="994"/>
      <c r="SSI3" s="994"/>
      <c r="SSJ3" s="994"/>
      <c r="SSK3" s="994"/>
      <c r="SSL3" s="994"/>
      <c r="SSM3" s="994"/>
      <c r="SSN3" s="994"/>
      <c r="SSO3" s="994"/>
      <c r="SSP3" s="994"/>
      <c r="SSQ3" s="994"/>
      <c r="SSR3" s="994"/>
      <c r="SSS3" s="994"/>
      <c r="SST3" s="994"/>
      <c r="SSU3" s="994"/>
      <c r="SSV3" s="994"/>
      <c r="SSW3" s="994"/>
      <c r="SSX3" s="994"/>
      <c r="SSY3" s="994"/>
      <c r="SSZ3" s="994"/>
      <c r="STA3" s="994"/>
      <c r="STB3" s="994"/>
      <c r="STC3" s="994"/>
      <c r="STD3" s="994"/>
      <c r="STE3" s="994"/>
      <c r="STF3" s="994"/>
      <c r="STG3" s="994"/>
      <c r="STH3" s="994"/>
      <c r="STI3" s="994"/>
      <c r="STJ3" s="994"/>
      <c r="STK3" s="994"/>
      <c r="STL3" s="994"/>
      <c r="STM3" s="994"/>
      <c r="STN3" s="994"/>
      <c r="STO3" s="994"/>
      <c r="STP3" s="994"/>
      <c r="STQ3" s="994"/>
      <c r="STR3" s="994"/>
      <c r="STS3" s="994"/>
      <c r="STT3" s="994"/>
      <c r="STU3" s="994"/>
      <c r="STV3" s="994"/>
      <c r="STW3" s="994"/>
      <c r="STX3" s="994"/>
      <c r="STY3" s="994"/>
      <c r="STZ3" s="994"/>
      <c r="SUA3" s="994"/>
      <c r="SUB3" s="994"/>
      <c r="SUC3" s="994"/>
      <c r="SUD3" s="994"/>
      <c r="SUE3" s="994"/>
      <c r="SUF3" s="994"/>
      <c r="SUG3" s="994"/>
      <c r="SUH3" s="994"/>
      <c r="SUI3" s="994"/>
      <c r="SUJ3" s="994"/>
      <c r="SUK3" s="994"/>
      <c r="SUL3" s="994"/>
      <c r="SUM3" s="994"/>
      <c r="SUN3" s="994"/>
      <c r="SUO3" s="994"/>
      <c r="SUP3" s="994"/>
      <c r="SUQ3" s="994"/>
      <c r="SUR3" s="994"/>
      <c r="SUS3" s="994"/>
      <c r="SUT3" s="994"/>
      <c r="SUU3" s="994"/>
      <c r="SUV3" s="994"/>
      <c r="SUW3" s="994"/>
      <c r="SUX3" s="994"/>
      <c r="SUY3" s="994"/>
      <c r="SUZ3" s="994"/>
      <c r="SVA3" s="994"/>
      <c r="SVB3" s="994"/>
      <c r="SVC3" s="994"/>
      <c r="SVD3" s="994"/>
      <c r="SVE3" s="994"/>
      <c r="SVF3" s="994"/>
      <c r="SVG3" s="994"/>
      <c r="SVH3" s="994"/>
      <c r="SVI3" s="994"/>
      <c r="SVJ3" s="994"/>
      <c r="SVK3" s="994"/>
      <c r="SVL3" s="994"/>
      <c r="SVM3" s="994"/>
      <c r="SVN3" s="994"/>
      <c r="SVO3" s="994"/>
      <c r="SVP3" s="994"/>
      <c r="SVQ3" s="994"/>
      <c r="SVR3" s="994"/>
      <c r="SVS3" s="994"/>
      <c r="SVT3" s="994"/>
      <c r="SVU3" s="994"/>
      <c r="SVV3" s="994"/>
      <c r="SVW3" s="994"/>
      <c r="SVX3" s="994"/>
      <c r="SVY3" s="994"/>
      <c r="SVZ3" s="994"/>
      <c r="SWA3" s="994"/>
      <c r="SWB3" s="994"/>
      <c r="SWC3" s="994"/>
      <c r="SWD3" s="994"/>
      <c r="SWE3" s="994"/>
      <c r="SWF3" s="994"/>
      <c r="SWG3" s="994"/>
      <c r="SWH3" s="994"/>
      <c r="SWI3" s="994"/>
      <c r="SWJ3" s="994"/>
      <c r="SWK3" s="994"/>
      <c r="SWL3" s="994"/>
      <c r="SWM3" s="994"/>
      <c r="SWN3" s="994"/>
      <c r="SWO3" s="994"/>
      <c r="SWP3" s="994"/>
      <c r="SWQ3" s="994"/>
      <c r="SWR3" s="994"/>
      <c r="SWS3" s="994"/>
      <c r="SWT3" s="994"/>
      <c r="SWU3" s="994"/>
      <c r="SWV3" s="994"/>
      <c r="SWW3" s="994"/>
      <c r="SWX3" s="994"/>
      <c r="SWY3" s="994"/>
      <c r="SWZ3" s="994"/>
      <c r="SXA3" s="994"/>
      <c r="SXB3" s="994"/>
      <c r="SXC3" s="994"/>
      <c r="SXD3" s="994"/>
      <c r="SXE3" s="994"/>
      <c r="SXF3" s="994"/>
      <c r="SXG3" s="994"/>
      <c r="SXH3" s="994"/>
      <c r="SXI3" s="994"/>
      <c r="SXJ3" s="994"/>
      <c r="SXK3" s="994"/>
      <c r="SXL3" s="994"/>
      <c r="SXM3" s="994"/>
      <c r="SXN3" s="994"/>
      <c r="SXO3" s="994"/>
      <c r="SXP3" s="994"/>
      <c r="SXQ3" s="994"/>
      <c r="SXR3" s="994"/>
      <c r="SXS3" s="994"/>
      <c r="SXT3" s="994"/>
      <c r="SXU3" s="994"/>
      <c r="SXV3" s="994"/>
      <c r="SXW3" s="994"/>
      <c r="SXX3" s="994"/>
      <c r="SXY3" s="994"/>
      <c r="SXZ3" s="994"/>
      <c r="SYA3" s="994"/>
      <c r="SYB3" s="994"/>
      <c r="SYC3" s="994"/>
      <c r="SYD3" s="994"/>
      <c r="SYE3" s="994"/>
      <c r="SYF3" s="994"/>
      <c r="SYG3" s="994"/>
      <c r="SYH3" s="994"/>
      <c r="SYI3" s="994"/>
      <c r="SYJ3" s="994"/>
      <c r="SYK3" s="994"/>
      <c r="SYL3" s="994"/>
      <c r="SYM3" s="994"/>
      <c r="SYN3" s="994"/>
      <c r="SYO3" s="994"/>
      <c r="SYP3" s="994"/>
      <c r="SYQ3" s="994"/>
      <c r="SYR3" s="994"/>
      <c r="SYS3" s="994"/>
      <c r="SYT3" s="994"/>
      <c r="SYU3" s="994"/>
      <c r="SYV3" s="994"/>
      <c r="SYW3" s="994"/>
      <c r="SYX3" s="994"/>
      <c r="SYY3" s="994"/>
      <c r="SYZ3" s="994"/>
      <c r="SZA3" s="994"/>
      <c r="SZB3" s="994"/>
      <c r="SZC3" s="994"/>
      <c r="SZD3" s="994"/>
      <c r="SZE3" s="994"/>
      <c r="SZF3" s="994"/>
      <c r="SZG3" s="994"/>
      <c r="SZH3" s="994"/>
      <c r="SZI3" s="994"/>
      <c r="SZJ3" s="994"/>
      <c r="SZK3" s="994"/>
      <c r="SZL3" s="994"/>
      <c r="SZM3" s="994"/>
      <c r="SZN3" s="994"/>
      <c r="SZO3" s="994"/>
      <c r="SZP3" s="994"/>
      <c r="SZQ3" s="994"/>
      <c r="SZR3" s="994"/>
      <c r="SZS3" s="994"/>
      <c r="SZT3" s="994"/>
      <c r="SZU3" s="994"/>
      <c r="SZV3" s="994"/>
      <c r="SZW3" s="994"/>
      <c r="SZX3" s="994"/>
      <c r="SZY3" s="994"/>
      <c r="SZZ3" s="994"/>
      <c r="TAA3" s="994"/>
      <c r="TAB3" s="994"/>
      <c r="TAC3" s="994"/>
      <c r="TAD3" s="994"/>
      <c r="TAE3" s="994"/>
      <c r="TAF3" s="994"/>
      <c r="TAG3" s="994"/>
      <c r="TAH3" s="994"/>
      <c r="TAI3" s="994"/>
      <c r="TAJ3" s="994"/>
      <c r="TAK3" s="994"/>
      <c r="TAL3" s="994"/>
      <c r="TAM3" s="994"/>
      <c r="TAN3" s="994"/>
      <c r="TAO3" s="994"/>
      <c r="TAP3" s="994"/>
      <c r="TAQ3" s="994"/>
      <c r="TAR3" s="994"/>
      <c r="TAS3" s="994"/>
      <c r="TAT3" s="994"/>
      <c r="TAU3" s="994"/>
      <c r="TAV3" s="994"/>
      <c r="TAW3" s="994"/>
      <c r="TAX3" s="994"/>
      <c r="TAY3" s="994"/>
      <c r="TAZ3" s="994"/>
      <c r="TBA3" s="994"/>
      <c r="TBB3" s="994"/>
      <c r="TBC3" s="994"/>
      <c r="TBD3" s="994"/>
      <c r="TBE3" s="994"/>
      <c r="TBF3" s="994"/>
      <c r="TBG3" s="994"/>
      <c r="TBH3" s="994"/>
      <c r="TBI3" s="994"/>
      <c r="TBJ3" s="994"/>
      <c r="TBK3" s="994"/>
      <c r="TBL3" s="994"/>
      <c r="TBM3" s="994"/>
      <c r="TBN3" s="994"/>
      <c r="TBO3" s="994"/>
      <c r="TBP3" s="994"/>
      <c r="TBQ3" s="994"/>
      <c r="TBR3" s="994"/>
      <c r="TBS3" s="994"/>
      <c r="TBT3" s="994"/>
      <c r="TBU3" s="994"/>
      <c r="TBV3" s="994"/>
      <c r="TBW3" s="994"/>
      <c r="TBX3" s="994"/>
      <c r="TBY3" s="994"/>
      <c r="TBZ3" s="994"/>
      <c r="TCA3" s="994"/>
      <c r="TCB3" s="994"/>
      <c r="TCC3" s="994"/>
      <c r="TCD3" s="994"/>
      <c r="TCE3" s="994"/>
      <c r="TCF3" s="994"/>
      <c r="TCG3" s="994"/>
      <c r="TCH3" s="994"/>
      <c r="TCI3" s="994"/>
      <c r="TCJ3" s="994"/>
      <c r="TCK3" s="994"/>
      <c r="TCL3" s="994"/>
      <c r="TCM3" s="994"/>
      <c r="TCN3" s="994"/>
      <c r="TCO3" s="994"/>
      <c r="TCP3" s="994"/>
      <c r="TCQ3" s="994"/>
      <c r="TCR3" s="994"/>
      <c r="TCS3" s="994"/>
      <c r="TCT3" s="994"/>
      <c r="TCU3" s="994"/>
      <c r="TCV3" s="994"/>
      <c r="TCW3" s="994"/>
      <c r="TCX3" s="994"/>
      <c r="TCY3" s="994"/>
      <c r="TCZ3" s="994"/>
      <c r="TDA3" s="994"/>
      <c r="TDB3" s="994"/>
      <c r="TDC3" s="994"/>
      <c r="TDD3" s="994"/>
      <c r="TDE3" s="994"/>
      <c r="TDF3" s="994"/>
      <c r="TDG3" s="994"/>
      <c r="TDH3" s="994"/>
      <c r="TDI3" s="994"/>
      <c r="TDJ3" s="994"/>
      <c r="TDK3" s="994"/>
      <c r="TDL3" s="994"/>
      <c r="TDM3" s="994"/>
      <c r="TDN3" s="994"/>
      <c r="TDO3" s="994"/>
      <c r="TDP3" s="994"/>
      <c r="TDQ3" s="994"/>
      <c r="TDR3" s="994"/>
      <c r="TDS3" s="994"/>
      <c r="TDT3" s="994"/>
      <c r="TDU3" s="994"/>
      <c r="TDV3" s="994"/>
      <c r="TDW3" s="994"/>
      <c r="TDX3" s="994"/>
      <c r="TDY3" s="994"/>
      <c r="TDZ3" s="994"/>
      <c r="TEA3" s="994"/>
      <c r="TEB3" s="994"/>
      <c r="TEC3" s="994"/>
      <c r="TED3" s="994"/>
      <c r="TEE3" s="994"/>
      <c r="TEF3" s="994"/>
      <c r="TEG3" s="994"/>
      <c r="TEH3" s="994"/>
      <c r="TEI3" s="994"/>
      <c r="TEJ3" s="994"/>
      <c r="TEK3" s="994"/>
      <c r="TEL3" s="994"/>
      <c r="TEM3" s="994"/>
      <c r="TEN3" s="994"/>
      <c r="TEO3" s="994"/>
      <c r="TEP3" s="994"/>
      <c r="TEQ3" s="994"/>
      <c r="TER3" s="994"/>
      <c r="TES3" s="994"/>
      <c r="TET3" s="994"/>
      <c r="TEU3" s="994"/>
      <c r="TEV3" s="994"/>
      <c r="TEW3" s="994"/>
      <c r="TEX3" s="994"/>
      <c r="TEY3" s="994"/>
      <c r="TEZ3" s="994"/>
      <c r="TFA3" s="994"/>
      <c r="TFB3" s="994"/>
      <c r="TFC3" s="994"/>
      <c r="TFD3" s="994"/>
      <c r="TFE3" s="994"/>
      <c r="TFF3" s="994"/>
      <c r="TFG3" s="994"/>
      <c r="TFH3" s="994"/>
      <c r="TFI3" s="994"/>
      <c r="TFJ3" s="994"/>
      <c r="TFK3" s="994"/>
      <c r="TFL3" s="994"/>
      <c r="TFM3" s="994"/>
      <c r="TFN3" s="994"/>
      <c r="TFO3" s="994"/>
      <c r="TFP3" s="994"/>
      <c r="TFQ3" s="994"/>
      <c r="TFR3" s="994"/>
      <c r="TFS3" s="994"/>
      <c r="TFT3" s="994"/>
      <c r="TFU3" s="994"/>
      <c r="TFV3" s="994"/>
      <c r="TFW3" s="994"/>
      <c r="TFX3" s="994"/>
      <c r="TFY3" s="994"/>
      <c r="TFZ3" s="994"/>
      <c r="TGA3" s="994"/>
      <c r="TGB3" s="994"/>
      <c r="TGC3" s="994"/>
      <c r="TGD3" s="994"/>
      <c r="TGE3" s="994"/>
      <c r="TGF3" s="994"/>
      <c r="TGG3" s="994"/>
      <c r="TGH3" s="994"/>
      <c r="TGI3" s="994"/>
      <c r="TGJ3" s="994"/>
      <c r="TGK3" s="994"/>
      <c r="TGL3" s="994"/>
      <c r="TGM3" s="994"/>
      <c r="TGN3" s="994"/>
      <c r="TGO3" s="994"/>
      <c r="TGP3" s="994"/>
      <c r="TGQ3" s="994"/>
      <c r="TGR3" s="994"/>
      <c r="TGS3" s="994"/>
      <c r="TGT3" s="994"/>
      <c r="TGU3" s="994"/>
      <c r="TGV3" s="994"/>
      <c r="TGW3" s="994"/>
      <c r="TGX3" s="994"/>
      <c r="TGY3" s="994"/>
      <c r="TGZ3" s="994"/>
      <c r="THA3" s="994"/>
      <c r="THB3" s="994"/>
      <c r="THC3" s="994"/>
      <c r="THD3" s="994"/>
      <c r="THE3" s="994"/>
      <c r="THF3" s="994"/>
      <c r="THG3" s="994"/>
      <c r="THH3" s="994"/>
      <c r="THI3" s="994"/>
      <c r="THJ3" s="994"/>
      <c r="THK3" s="994"/>
      <c r="THL3" s="994"/>
      <c r="THM3" s="994"/>
      <c r="THN3" s="994"/>
      <c r="THO3" s="994"/>
      <c r="THP3" s="994"/>
      <c r="THQ3" s="994"/>
      <c r="THR3" s="994"/>
      <c r="THS3" s="994"/>
      <c r="THT3" s="994"/>
      <c r="THU3" s="994"/>
      <c r="THV3" s="994"/>
      <c r="THW3" s="994"/>
      <c r="THX3" s="994"/>
      <c r="THY3" s="994"/>
      <c r="THZ3" s="994"/>
      <c r="TIA3" s="994"/>
      <c r="TIB3" s="994"/>
      <c r="TIC3" s="994"/>
      <c r="TID3" s="994"/>
      <c r="TIE3" s="994"/>
      <c r="TIF3" s="994"/>
      <c r="TIG3" s="994"/>
      <c r="TIH3" s="994"/>
      <c r="TII3" s="994"/>
      <c r="TIJ3" s="994"/>
      <c r="TIK3" s="994"/>
      <c r="TIL3" s="994"/>
      <c r="TIM3" s="994"/>
      <c r="TIN3" s="994"/>
      <c r="TIO3" s="994"/>
      <c r="TIP3" s="994"/>
      <c r="TIQ3" s="994"/>
      <c r="TIR3" s="994"/>
      <c r="TIS3" s="994"/>
      <c r="TIT3" s="994"/>
      <c r="TIU3" s="994"/>
      <c r="TIV3" s="994"/>
      <c r="TIW3" s="994"/>
      <c r="TIX3" s="994"/>
      <c r="TIY3" s="994"/>
      <c r="TIZ3" s="994"/>
      <c r="TJA3" s="994"/>
      <c r="TJB3" s="994"/>
      <c r="TJC3" s="994"/>
      <c r="TJD3" s="994"/>
      <c r="TJE3" s="994"/>
      <c r="TJF3" s="994"/>
      <c r="TJG3" s="994"/>
      <c r="TJH3" s="994"/>
      <c r="TJI3" s="994"/>
      <c r="TJJ3" s="994"/>
      <c r="TJK3" s="994"/>
      <c r="TJL3" s="994"/>
      <c r="TJM3" s="994"/>
      <c r="TJN3" s="994"/>
      <c r="TJO3" s="994"/>
      <c r="TJP3" s="994"/>
      <c r="TJQ3" s="994"/>
      <c r="TJR3" s="994"/>
      <c r="TJS3" s="994"/>
      <c r="TJT3" s="994"/>
      <c r="TJU3" s="994"/>
      <c r="TJV3" s="994"/>
      <c r="TJW3" s="994"/>
      <c r="TJX3" s="994"/>
      <c r="TJY3" s="994"/>
      <c r="TJZ3" s="994"/>
      <c r="TKA3" s="994"/>
      <c r="TKB3" s="994"/>
      <c r="TKC3" s="994"/>
      <c r="TKD3" s="994"/>
      <c r="TKE3" s="994"/>
      <c r="TKF3" s="994"/>
      <c r="TKG3" s="994"/>
      <c r="TKH3" s="994"/>
      <c r="TKI3" s="994"/>
      <c r="TKJ3" s="994"/>
      <c r="TKK3" s="994"/>
      <c r="TKL3" s="994"/>
      <c r="TKM3" s="994"/>
      <c r="TKN3" s="994"/>
      <c r="TKO3" s="994"/>
      <c r="TKP3" s="994"/>
      <c r="TKQ3" s="994"/>
      <c r="TKR3" s="994"/>
      <c r="TKS3" s="994"/>
      <c r="TKT3" s="994"/>
      <c r="TKU3" s="994"/>
      <c r="TKV3" s="994"/>
      <c r="TKW3" s="994"/>
      <c r="TKX3" s="994"/>
      <c r="TKY3" s="994"/>
      <c r="TKZ3" s="994"/>
      <c r="TLA3" s="994"/>
      <c r="TLB3" s="994"/>
      <c r="TLC3" s="994"/>
      <c r="TLD3" s="994"/>
      <c r="TLE3" s="994"/>
      <c r="TLF3" s="994"/>
      <c r="TLG3" s="994"/>
      <c r="TLH3" s="994"/>
      <c r="TLI3" s="994"/>
      <c r="TLJ3" s="994"/>
      <c r="TLK3" s="994"/>
      <c r="TLL3" s="994"/>
      <c r="TLM3" s="994"/>
      <c r="TLN3" s="994"/>
      <c r="TLO3" s="994"/>
      <c r="TLP3" s="994"/>
      <c r="TLQ3" s="994"/>
      <c r="TLR3" s="994"/>
      <c r="TLS3" s="994"/>
      <c r="TLT3" s="994"/>
      <c r="TLU3" s="994"/>
      <c r="TLV3" s="994"/>
      <c r="TLW3" s="994"/>
      <c r="TLX3" s="994"/>
      <c r="TLY3" s="994"/>
      <c r="TLZ3" s="994"/>
      <c r="TMA3" s="994"/>
      <c r="TMB3" s="994"/>
      <c r="TMC3" s="994"/>
      <c r="TMD3" s="994"/>
      <c r="TME3" s="994"/>
      <c r="TMF3" s="994"/>
      <c r="TMG3" s="994"/>
      <c r="TMH3" s="994"/>
      <c r="TMI3" s="994"/>
      <c r="TMJ3" s="994"/>
      <c r="TMK3" s="994"/>
      <c r="TML3" s="994"/>
      <c r="TMM3" s="994"/>
      <c r="TMN3" s="994"/>
      <c r="TMO3" s="994"/>
      <c r="TMP3" s="994"/>
      <c r="TMQ3" s="994"/>
      <c r="TMR3" s="994"/>
      <c r="TMS3" s="994"/>
      <c r="TMT3" s="994"/>
      <c r="TMU3" s="994"/>
      <c r="TMV3" s="994"/>
      <c r="TMW3" s="994"/>
      <c r="TMX3" s="994"/>
      <c r="TMY3" s="994"/>
      <c r="TMZ3" s="994"/>
      <c r="TNA3" s="994"/>
      <c r="TNB3" s="994"/>
      <c r="TNC3" s="994"/>
      <c r="TND3" s="994"/>
      <c r="TNE3" s="994"/>
      <c r="TNF3" s="994"/>
      <c r="TNG3" s="994"/>
      <c r="TNH3" s="994"/>
      <c r="TNI3" s="994"/>
      <c r="TNJ3" s="994"/>
      <c r="TNK3" s="994"/>
      <c r="TNL3" s="994"/>
      <c r="TNM3" s="994"/>
      <c r="TNN3" s="994"/>
      <c r="TNO3" s="994"/>
      <c r="TNP3" s="994"/>
      <c r="TNQ3" s="994"/>
      <c r="TNR3" s="994"/>
      <c r="TNS3" s="994"/>
      <c r="TNT3" s="994"/>
      <c r="TNU3" s="994"/>
      <c r="TNV3" s="994"/>
      <c r="TNW3" s="994"/>
      <c r="TNX3" s="994"/>
      <c r="TNY3" s="994"/>
      <c r="TNZ3" s="994"/>
      <c r="TOA3" s="994"/>
      <c r="TOB3" s="994"/>
      <c r="TOC3" s="994"/>
      <c r="TOD3" s="994"/>
      <c r="TOE3" s="994"/>
      <c r="TOF3" s="994"/>
      <c r="TOG3" s="994"/>
      <c r="TOH3" s="994"/>
      <c r="TOI3" s="994"/>
      <c r="TOJ3" s="994"/>
      <c r="TOK3" s="994"/>
      <c r="TOL3" s="994"/>
      <c r="TOM3" s="994"/>
      <c r="TON3" s="994"/>
      <c r="TOO3" s="994"/>
      <c r="TOP3" s="994"/>
      <c r="TOQ3" s="994"/>
      <c r="TOR3" s="994"/>
      <c r="TOS3" s="994"/>
      <c r="TOT3" s="994"/>
      <c r="TOU3" s="994"/>
      <c r="TOV3" s="994"/>
      <c r="TOW3" s="994"/>
      <c r="TOX3" s="994"/>
      <c r="TOY3" s="994"/>
      <c r="TOZ3" s="994"/>
      <c r="TPA3" s="994"/>
      <c r="TPB3" s="994"/>
      <c r="TPC3" s="994"/>
      <c r="TPD3" s="994"/>
      <c r="TPE3" s="994"/>
      <c r="TPF3" s="994"/>
      <c r="TPG3" s="994"/>
      <c r="TPH3" s="994"/>
      <c r="TPI3" s="994"/>
      <c r="TPJ3" s="994"/>
      <c r="TPK3" s="994"/>
      <c r="TPL3" s="994"/>
      <c r="TPM3" s="994"/>
      <c r="TPN3" s="994"/>
      <c r="TPO3" s="994"/>
      <c r="TPP3" s="994"/>
      <c r="TPQ3" s="994"/>
      <c r="TPR3" s="994"/>
      <c r="TPS3" s="994"/>
      <c r="TPT3" s="994"/>
      <c r="TPU3" s="994"/>
      <c r="TPV3" s="994"/>
      <c r="TPW3" s="994"/>
      <c r="TPX3" s="994"/>
      <c r="TPY3" s="994"/>
      <c r="TPZ3" s="994"/>
      <c r="TQA3" s="994"/>
      <c r="TQB3" s="994"/>
      <c r="TQC3" s="994"/>
      <c r="TQD3" s="994"/>
      <c r="TQE3" s="994"/>
      <c r="TQF3" s="994"/>
      <c r="TQG3" s="994"/>
      <c r="TQH3" s="994"/>
      <c r="TQI3" s="994"/>
      <c r="TQJ3" s="994"/>
      <c r="TQK3" s="994"/>
      <c r="TQL3" s="994"/>
      <c r="TQM3" s="994"/>
      <c r="TQN3" s="994"/>
      <c r="TQO3" s="994"/>
      <c r="TQP3" s="994"/>
      <c r="TQQ3" s="994"/>
      <c r="TQR3" s="994"/>
      <c r="TQS3" s="994"/>
      <c r="TQT3" s="994"/>
      <c r="TQU3" s="994"/>
      <c r="TQV3" s="994"/>
      <c r="TQW3" s="994"/>
      <c r="TQX3" s="994"/>
      <c r="TQY3" s="994"/>
      <c r="TQZ3" s="994"/>
      <c r="TRA3" s="994"/>
      <c r="TRB3" s="994"/>
      <c r="TRC3" s="994"/>
      <c r="TRD3" s="994"/>
      <c r="TRE3" s="994"/>
      <c r="TRF3" s="994"/>
      <c r="TRG3" s="994"/>
      <c r="TRH3" s="994"/>
      <c r="TRI3" s="994"/>
      <c r="TRJ3" s="994"/>
      <c r="TRK3" s="994"/>
      <c r="TRL3" s="994"/>
      <c r="TRM3" s="994"/>
      <c r="TRN3" s="994"/>
      <c r="TRO3" s="994"/>
      <c r="TRP3" s="994"/>
      <c r="TRQ3" s="994"/>
      <c r="TRR3" s="994"/>
      <c r="TRS3" s="994"/>
      <c r="TRT3" s="994"/>
      <c r="TRU3" s="994"/>
      <c r="TRV3" s="994"/>
      <c r="TRW3" s="994"/>
      <c r="TRX3" s="994"/>
      <c r="TRY3" s="994"/>
      <c r="TRZ3" s="994"/>
      <c r="TSA3" s="994"/>
      <c r="TSB3" s="994"/>
      <c r="TSC3" s="994"/>
      <c r="TSD3" s="994"/>
      <c r="TSE3" s="994"/>
      <c r="TSF3" s="994"/>
      <c r="TSG3" s="994"/>
      <c r="TSH3" s="994"/>
      <c r="TSI3" s="994"/>
      <c r="TSJ3" s="994"/>
      <c r="TSK3" s="994"/>
      <c r="TSL3" s="994"/>
      <c r="TSM3" s="994"/>
      <c r="TSN3" s="994"/>
      <c r="TSO3" s="994"/>
      <c r="TSP3" s="994"/>
      <c r="TSQ3" s="994"/>
      <c r="TSR3" s="994"/>
      <c r="TSS3" s="994"/>
      <c r="TST3" s="994"/>
      <c r="TSU3" s="994"/>
      <c r="TSV3" s="994"/>
      <c r="TSW3" s="994"/>
      <c r="TSX3" s="994"/>
      <c r="TSY3" s="994"/>
      <c r="TSZ3" s="994"/>
      <c r="TTA3" s="994"/>
      <c r="TTB3" s="994"/>
      <c r="TTC3" s="994"/>
      <c r="TTD3" s="994"/>
      <c r="TTE3" s="994"/>
      <c r="TTF3" s="994"/>
      <c r="TTG3" s="994"/>
      <c r="TTH3" s="994"/>
      <c r="TTI3" s="994"/>
      <c r="TTJ3" s="994"/>
      <c r="TTK3" s="994"/>
      <c r="TTL3" s="994"/>
      <c r="TTM3" s="994"/>
      <c r="TTN3" s="994"/>
      <c r="TTO3" s="994"/>
      <c r="TTP3" s="994"/>
      <c r="TTQ3" s="994"/>
      <c r="TTR3" s="994"/>
      <c r="TTS3" s="994"/>
      <c r="TTT3" s="994"/>
      <c r="TTU3" s="994"/>
      <c r="TTV3" s="994"/>
      <c r="TTW3" s="994"/>
      <c r="TTX3" s="994"/>
      <c r="TTY3" s="994"/>
      <c r="TTZ3" s="994"/>
      <c r="TUA3" s="994"/>
      <c r="TUB3" s="994"/>
      <c r="TUC3" s="994"/>
      <c r="TUD3" s="994"/>
      <c r="TUE3" s="994"/>
      <c r="TUF3" s="994"/>
      <c r="TUG3" s="994"/>
      <c r="TUH3" s="994"/>
      <c r="TUI3" s="994"/>
      <c r="TUJ3" s="994"/>
      <c r="TUK3" s="994"/>
      <c r="TUL3" s="994"/>
      <c r="TUM3" s="994"/>
      <c r="TUN3" s="994"/>
      <c r="TUO3" s="994"/>
      <c r="TUP3" s="994"/>
      <c r="TUQ3" s="994"/>
      <c r="TUR3" s="994"/>
      <c r="TUS3" s="994"/>
      <c r="TUT3" s="994"/>
      <c r="TUU3" s="994"/>
      <c r="TUV3" s="994"/>
      <c r="TUW3" s="994"/>
      <c r="TUX3" s="994"/>
      <c r="TUY3" s="994"/>
      <c r="TUZ3" s="994"/>
      <c r="TVA3" s="994"/>
      <c r="TVB3" s="994"/>
      <c r="TVC3" s="994"/>
      <c r="TVD3" s="994"/>
      <c r="TVE3" s="994"/>
      <c r="TVF3" s="994"/>
      <c r="TVG3" s="994"/>
      <c r="TVH3" s="994"/>
      <c r="TVI3" s="994"/>
      <c r="TVJ3" s="994"/>
      <c r="TVK3" s="994"/>
      <c r="TVL3" s="994"/>
      <c r="TVM3" s="994"/>
      <c r="TVN3" s="994"/>
      <c r="TVO3" s="994"/>
      <c r="TVP3" s="994"/>
      <c r="TVQ3" s="994"/>
      <c r="TVR3" s="994"/>
      <c r="TVS3" s="994"/>
      <c r="TVT3" s="994"/>
      <c r="TVU3" s="994"/>
      <c r="TVV3" s="994"/>
      <c r="TVW3" s="994"/>
      <c r="TVX3" s="994"/>
      <c r="TVY3" s="994"/>
      <c r="TVZ3" s="994"/>
      <c r="TWA3" s="994"/>
      <c r="TWB3" s="994"/>
      <c r="TWC3" s="994"/>
      <c r="TWD3" s="994"/>
      <c r="TWE3" s="994"/>
      <c r="TWF3" s="994"/>
      <c r="TWG3" s="994"/>
      <c r="TWH3" s="994"/>
      <c r="TWI3" s="994"/>
      <c r="TWJ3" s="994"/>
      <c r="TWK3" s="994"/>
      <c r="TWL3" s="994"/>
      <c r="TWM3" s="994"/>
      <c r="TWN3" s="994"/>
      <c r="TWO3" s="994"/>
      <c r="TWP3" s="994"/>
      <c r="TWQ3" s="994"/>
      <c r="TWR3" s="994"/>
      <c r="TWS3" s="994"/>
      <c r="TWT3" s="994"/>
      <c r="TWU3" s="994"/>
      <c r="TWV3" s="994"/>
      <c r="TWW3" s="994"/>
      <c r="TWX3" s="994"/>
      <c r="TWY3" s="994"/>
      <c r="TWZ3" s="994"/>
      <c r="TXA3" s="994"/>
      <c r="TXB3" s="994"/>
      <c r="TXC3" s="994"/>
      <c r="TXD3" s="994"/>
      <c r="TXE3" s="994"/>
      <c r="TXF3" s="994"/>
      <c r="TXG3" s="994"/>
      <c r="TXH3" s="994"/>
      <c r="TXI3" s="994"/>
      <c r="TXJ3" s="994"/>
      <c r="TXK3" s="994"/>
      <c r="TXL3" s="994"/>
      <c r="TXM3" s="994"/>
      <c r="TXN3" s="994"/>
      <c r="TXO3" s="994"/>
      <c r="TXP3" s="994"/>
      <c r="TXQ3" s="994"/>
      <c r="TXR3" s="994"/>
      <c r="TXS3" s="994"/>
      <c r="TXT3" s="994"/>
      <c r="TXU3" s="994"/>
      <c r="TXV3" s="994"/>
      <c r="TXW3" s="994"/>
      <c r="TXX3" s="994"/>
      <c r="TXY3" s="994"/>
      <c r="TXZ3" s="994"/>
      <c r="TYA3" s="994"/>
      <c r="TYB3" s="994"/>
      <c r="TYC3" s="994"/>
      <c r="TYD3" s="994"/>
      <c r="TYE3" s="994"/>
      <c r="TYF3" s="994"/>
      <c r="TYG3" s="994"/>
      <c r="TYH3" s="994"/>
      <c r="TYI3" s="994"/>
      <c r="TYJ3" s="994"/>
      <c r="TYK3" s="994"/>
      <c r="TYL3" s="994"/>
      <c r="TYM3" s="994"/>
      <c r="TYN3" s="994"/>
      <c r="TYO3" s="994"/>
      <c r="TYP3" s="994"/>
      <c r="TYQ3" s="994"/>
      <c r="TYR3" s="994"/>
      <c r="TYS3" s="994"/>
      <c r="TYT3" s="994"/>
      <c r="TYU3" s="994"/>
      <c r="TYV3" s="994"/>
      <c r="TYW3" s="994"/>
      <c r="TYX3" s="994"/>
      <c r="TYY3" s="994"/>
      <c r="TYZ3" s="994"/>
      <c r="TZA3" s="994"/>
      <c r="TZB3" s="994"/>
      <c r="TZC3" s="994"/>
      <c r="TZD3" s="994"/>
      <c r="TZE3" s="994"/>
      <c r="TZF3" s="994"/>
      <c r="TZG3" s="994"/>
      <c r="TZH3" s="994"/>
      <c r="TZI3" s="994"/>
      <c r="TZJ3" s="994"/>
      <c r="TZK3" s="994"/>
      <c r="TZL3" s="994"/>
      <c r="TZM3" s="994"/>
      <c r="TZN3" s="994"/>
      <c r="TZO3" s="994"/>
      <c r="TZP3" s="994"/>
      <c r="TZQ3" s="994"/>
      <c r="TZR3" s="994"/>
      <c r="TZS3" s="994"/>
      <c r="TZT3" s="994"/>
      <c r="TZU3" s="994"/>
      <c r="TZV3" s="994"/>
      <c r="TZW3" s="994"/>
      <c r="TZX3" s="994"/>
      <c r="TZY3" s="994"/>
      <c r="TZZ3" s="994"/>
      <c r="UAA3" s="994"/>
      <c r="UAB3" s="994"/>
      <c r="UAC3" s="994"/>
      <c r="UAD3" s="994"/>
      <c r="UAE3" s="994"/>
      <c r="UAF3" s="994"/>
      <c r="UAG3" s="994"/>
      <c r="UAH3" s="994"/>
      <c r="UAI3" s="994"/>
      <c r="UAJ3" s="994"/>
      <c r="UAK3" s="994"/>
      <c r="UAL3" s="994"/>
      <c r="UAM3" s="994"/>
      <c r="UAN3" s="994"/>
      <c r="UAO3" s="994"/>
      <c r="UAP3" s="994"/>
      <c r="UAQ3" s="994"/>
      <c r="UAR3" s="994"/>
      <c r="UAS3" s="994"/>
      <c r="UAT3" s="994"/>
      <c r="UAU3" s="994"/>
      <c r="UAV3" s="994"/>
      <c r="UAW3" s="994"/>
      <c r="UAX3" s="994"/>
      <c r="UAY3" s="994"/>
      <c r="UAZ3" s="994"/>
      <c r="UBA3" s="994"/>
      <c r="UBB3" s="994"/>
      <c r="UBC3" s="994"/>
      <c r="UBD3" s="994"/>
      <c r="UBE3" s="994"/>
      <c r="UBF3" s="994"/>
      <c r="UBG3" s="994"/>
      <c r="UBH3" s="994"/>
      <c r="UBI3" s="994"/>
      <c r="UBJ3" s="994"/>
      <c r="UBK3" s="994"/>
      <c r="UBL3" s="994"/>
      <c r="UBM3" s="994"/>
      <c r="UBN3" s="994"/>
      <c r="UBO3" s="994"/>
      <c r="UBP3" s="994"/>
      <c r="UBQ3" s="994"/>
      <c r="UBR3" s="994"/>
      <c r="UBS3" s="994"/>
      <c r="UBT3" s="994"/>
      <c r="UBU3" s="994"/>
      <c r="UBV3" s="994"/>
      <c r="UBW3" s="994"/>
      <c r="UBX3" s="994"/>
      <c r="UBY3" s="994"/>
      <c r="UBZ3" s="994"/>
      <c r="UCA3" s="994"/>
      <c r="UCB3" s="994"/>
      <c r="UCC3" s="994"/>
      <c r="UCD3" s="994"/>
      <c r="UCE3" s="994"/>
      <c r="UCF3" s="994"/>
      <c r="UCG3" s="994"/>
      <c r="UCH3" s="994"/>
      <c r="UCI3" s="994"/>
      <c r="UCJ3" s="994"/>
      <c r="UCK3" s="994"/>
      <c r="UCL3" s="994"/>
      <c r="UCM3" s="994"/>
      <c r="UCN3" s="994"/>
      <c r="UCO3" s="994"/>
      <c r="UCP3" s="994"/>
      <c r="UCQ3" s="994"/>
      <c r="UCR3" s="994"/>
      <c r="UCS3" s="994"/>
      <c r="UCT3" s="994"/>
      <c r="UCU3" s="994"/>
      <c r="UCV3" s="994"/>
      <c r="UCW3" s="994"/>
      <c r="UCX3" s="994"/>
      <c r="UCY3" s="994"/>
      <c r="UCZ3" s="994"/>
      <c r="UDA3" s="994"/>
      <c r="UDB3" s="994"/>
      <c r="UDC3" s="994"/>
      <c r="UDD3" s="994"/>
      <c r="UDE3" s="994"/>
      <c r="UDF3" s="994"/>
      <c r="UDG3" s="994"/>
      <c r="UDH3" s="994"/>
      <c r="UDI3" s="994"/>
      <c r="UDJ3" s="994"/>
      <c r="UDK3" s="994"/>
      <c r="UDL3" s="994"/>
      <c r="UDM3" s="994"/>
      <c r="UDN3" s="994"/>
      <c r="UDO3" s="994"/>
      <c r="UDP3" s="994"/>
      <c r="UDQ3" s="994"/>
      <c r="UDR3" s="994"/>
      <c r="UDS3" s="994"/>
      <c r="UDT3" s="994"/>
      <c r="UDU3" s="994"/>
      <c r="UDV3" s="994"/>
      <c r="UDW3" s="994"/>
      <c r="UDX3" s="994"/>
      <c r="UDY3" s="994"/>
      <c r="UDZ3" s="994"/>
      <c r="UEA3" s="994"/>
      <c r="UEB3" s="994"/>
      <c r="UEC3" s="994"/>
      <c r="UED3" s="994"/>
      <c r="UEE3" s="994"/>
      <c r="UEF3" s="994"/>
      <c r="UEG3" s="994"/>
      <c r="UEH3" s="994"/>
      <c r="UEI3" s="994"/>
      <c r="UEJ3" s="994"/>
      <c r="UEK3" s="994"/>
      <c r="UEL3" s="994"/>
      <c r="UEM3" s="994"/>
      <c r="UEN3" s="994"/>
      <c r="UEO3" s="994"/>
      <c r="UEP3" s="994"/>
      <c r="UEQ3" s="994"/>
      <c r="UER3" s="994"/>
      <c r="UES3" s="994"/>
      <c r="UET3" s="994"/>
      <c r="UEU3" s="994"/>
      <c r="UEV3" s="994"/>
      <c r="UEW3" s="994"/>
      <c r="UEX3" s="994"/>
      <c r="UEY3" s="994"/>
      <c r="UEZ3" s="994"/>
      <c r="UFA3" s="994"/>
      <c r="UFB3" s="994"/>
      <c r="UFC3" s="994"/>
      <c r="UFD3" s="994"/>
      <c r="UFE3" s="994"/>
      <c r="UFF3" s="994"/>
      <c r="UFG3" s="994"/>
      <c r="UFH3" s="994"/>
      <c r="UFI3" s="994"/>
      <c r="UFJ3" s="994"/>
      <c r="UFK3" s="994"/>
      <c r="UFL3" s="994"/>
      <c r="UFM3" s="994"/>
      <c r="UFN3" s="994"/>
      <c r="UFO3" s="994"/>
      <c r="UFP3" s="994"/>
      <c r="UFQ3" s="994"/>
      <c r="UFR3" s="994"/>
      <c r="UFS3" s="994"/>
      <c r="UFT3" s="994"/>
      <c r="UFU3" s="994"/>
      <c r="UFV3" s="994"/>
      <c r="UFW3" s="994"/>
      <c r="UFX3" s="994"/>
      <c r="UFY3" s="994"/>
      <c r="UFZ3" s="994"/>
      <c r="UGA3" s="994"/>
      <c r="UGB3" s="994"/>
      <c r="UGC3" s="994"/>
      <c r="UGD3" s="994"/>
      <c r="UGE3" s="994"/>
      <c r="UGF3" s="994"/>
      <c r="UGG3" s="994"/>
      <c r="UGH3" s="994"/>
      <c r="UGI3" s="994"/>
      <c r="UGJ3" s="994"/>
      <c r="UGK3" s="994"/>
      <c r="UGL3" s="994"/>
      <c r="UGM3" s="994"/>
      <c r="UGN3" s="994"/>
      <c r="UGO3" s="994"/>
      <c r="UGP3" s="994"/>
      <c r="UGQ3" s="994"/>
      <c r="UGR3" s="994"/>
      <c r="UGS3" s="994"/>
      <c r="UGT3" s="994"/>
      <c r="UGU3" s="994"/>
      <c r="UGV3" s="994"/>
      <c r="UGW3" s="994"/>
      <c r="UGX3" s="994"/>
      <c r="UGY3" s="994"/>
      <c r="UGZ3" s="994"/>
      <c r="UHA3" s="994"/>
      <c r="UHB3" s="994"/>
      <c r="UHC3" s="994"/>
      <c r="UHD3" s="994"/>
      <c r="UHE3" s="994"/>
      <c r="UHF3" s="994"/>
      <c r="UHG3" s="994"/>
      <c r="UHH3" s="994"/>
      <c r="UHI3" s="994"/>
      <c r="UHJ3" s="994"/>
      <c r="UHK3" s="994"/>
      <c r="UHL3" s="994"/>
      <c r="UHM3" s="994"/>
      <c r="UHN3" s="994"/>
      <c r="UHO3" s="994"/>
      <c r="UHP3" s="994"/>
      <c r="UHQ3" s="994"/>
      <c r="UHR3" s="994"/>
      <c r="UHS3" s="994"/>
      <c r="UHT3" s="994"/>
      <c r="UHU3" s="994"/>
      <c r="UHV3" s="994"/>
      <c r="UHW3" s="994"/>
      <c r="UHX3" s="994"/>
      <c r="UHY3" s="994"/>
      <c r="UHZ3" s="994"/>
      <c r="UIA3" s="994"/>
      <c r="UIB3" s="994"/>
      <c r="UIC3" s="994"/>
      <c r="UID3" s="994"/>
      <c r="UIE3" s="994"/>
      <c r="UIF3" s="994"/>
      <c r="UIG3" s="994"/>
      <c r="UIH3" s="994"/>
      <c r="UII3" s="994"/>
      <c r="UIJ3" s="994"/>
      <c r="UIK3" s="994"/>
      <c r="UIL3" s="994"/>
      <c r="UIM3" s="994"/>
      <c r="UIN3" s="994"/>
      <c r="UIO3" s="994"/>
      <c r="UIP3" s="994"/>
      <c r="UIQ3" s="994"/>
      <c r="UIR3" s="994"/>
      <c r="UIS3" s="994"/>
      <c r="UIT3" s="994"/>
      <c r="UIU3" s="994"/>
      <c r="UIV3" s="994"/>
      <c r="UIW3" s="994"/>
      <c r="UIX3" s="994"/>
      <c r="UIY3" s="994"/>
      <c r="UIZ3" s="994"/>
      <c r="UJA3" s="994"/>
      <c r="UJB3" s="994"/>
      <c r="UJC3" s="994"/>
      <c r="UJD3" s="994"/>
      <c r="UJE3" s="994"/>
      <c r="UJF3" s="994"/>
      <c r="UJG3" s="994"/>
      <c r="UJH3" s="994"/>
      <c r="UJI3" s="994"/>
      <c r="UJJ3" s="994"/>
      <c r="UJK3" s="994"/>
      <c r="UJL3" s="994"/>
      <c r="UJM3" s="994"/>
      <c r="UJN3" s="994"/>
      <c r="UJO3" s="994"/>
      <c r="UJP3" s="994"/>
      <c r="UJQ3" s="994"/>
      <c r="UJR3" s="994"/>
      <c r="UJS3" s="994"/>
      <c r="UJT3" s="994"/>
      <c r="UJU3" s="994"/>
      <c r="UJV3" s="994"/>
      <c r="UJW3" s="994"/>
      <c r="UJX3" s="994"/>
      <c r="UJY3" s="994"/>
      <c r="UJZ3" s="994"/>
      <c r="UKA3" s="994"/>
      <c r="UKB3" s="994"/>
      <c r="UKC3" s="994"/>
      <c r="UKD3" s="994"/>
      <c r="UKE3" s="994"/>
      <c r="UKF3" s="994"/>
      <c r="UKG3" s="994"/>
      <c r="UKH3" s="994"/>
      <c r="UKI3" s="994"/>
      <c r="UKJ3" s="994"/>
      <c r="UKK3" s="994"/>
      <c r="UKL3" s="994"/>
      <c r="UKM3" s="994"/>
      <c r="UKN3" s="994"/>
      <c r="UKO3" s="994"/>
      <c r="UKP3" s="994"/>
      <c r="UKQ3" s="994"/>
      <c r="UKR3" s="994"/>
      <c r="UKS3" s="994"/>
      <c r="UKT3" s="994"/>
      <c r="UKU3" s="994"/>
      <c r="UKV3" s="994"/>
      <c r="UKW3" s="994"/>
      <c r="UKX3" s="994"/>
      <c r="UKY3" s="994"/>
      <c r="UKZ3" s="994"/>
      <c r="ULA3" s="994"/>
      <c r="ULB3" s="994"/>
      <c r="ULC3" s="994"/>
      <c r="ULD3" s="994"/>
      <c r="ULE3" s="994"/>
      <c r="ULF3" s="994"/>
      <c r="ULG3" s="994"/>
      <c r="ULH3" s="994"/>
      <c r="ULI3" s="994"/>
      <c r="ULJ3" s="994"/>
      <c r="ULK3" s="994"/>
      <c r="ULL3" s="994"/>
      <c r="ULM3" s="994"/>
      <c r="ULN3" s="994"/>
      <c r="ULO3" s="994"/>
      <c r="ULP3" s="994"/>
      <c r="ULQ3" s="994"/>
      <c r="ULR3" s="994"/>
      <c r="ULS3" s="994"/>
      <c r="ULT3" s="994"/>
      <c r="ULU3" s="994"/>
      <c r="ULV3" s="994"/>
      <c r="ULW3" s="994"/>
      <c r="ULX3" s="994"/>
      <c r="ULY3" s="994"/>
      <c r="ULZ3" s="994"/>
      <c r="UMA3" s="994"/>
      <c r="UMB3" s="994"/>
      <c r="UMC3" s="994"/>
      <c r="UMD3" s="994"/>
      <c r="UME3" s="994"/>
      <c r="UMF3" s="994"/>
      <c r="UMG3" s="994"/>
      <c r="UMH3" s="994"/>
      <c r="UMI3" s="994"/>
      <c r="UMJ3" s="994"/>
      <c r="UMK3" s="994"/>
      <c r="UML3" s="994"/>
      <c r="UMM3" s="994"/>
      <c r="UMN3" s="994"/>
      <c r="UMO3" s="994"/>
      <c r="UMP3" s="994"/>
      <c r="UMQ3" s="994"/>
      <c r="UMR3" s="994"/>
      <c r="UMS3" s="994"/>
      <c r="UMT3" s="994"/>
      <c r="UMU3" s="994"/>
      <c r="UMV3" s="994"/>
      <c r="UMW3" s="994"/>
      <c r="UMX3" s="994"/>
      <c r="UMY3" s="994"/>
      <c r="UMZ3" s="994"/>
      <c r="UNA3" s="994"/>
      <c r="UNB3" s="994"/>
      <c r="UNC3" s="994"/>
      <c r="UND3" s="994"/>
      <c r="UNE3" s="994"/>
      <c r="UNF3" s="994"/>
      <c r="UNG3" s="994"/>
      <c r="UNH3" s="994"/>
      <c r="UNI3" s="994"/>
      <c r="UNJ3" s="994"/>
      <c r="UNK3" s="994"/>
      <c r="UNL3" s="994"/>
      <c r="UNM3" s="994"/>
      <c r="UNN3" s="994"/>
      <c r="UNO3" s="994"/>
      <c r="UNP3" s="994"/>
      <c r="UNQ3" s="994"/>
      <c r="UNR3" s="994"/>
      <c r="UNS3" s="994"/>
      <c r="UNT3" s="994"/>
      <c r="UNU3" s="994"/>
      <c r="UNV3" s="994"/>
      <c r="UNW3" s="994"/>
      <c r="UNX3" s="994"/>
      <c r="UNY3" s="994"/>
      <c r="UNZ3" s="994"/>
      <c r="UOA3" s="994"/>
      <c r="UOB3" s="994"/>
      <c r="UOC3" s="994"/>
      <c r="UOD3" s="994"/>
      <c r="UOE3" s="994"/>
      <c r="UOF3" s="994"/>
      <c r="UOG3" s="994"/>
      <c r="UOH3" s="994"/>
      <c r="UOI3" s="994"/>
      <c r="UOJ3" s="994"/>
      <c r="UOK3" s="994"/>
      <c r="UOL3" s="994"/>
      <c r="UOM3" s="994"/>
      <c r="UON3" s="994"/>
      <c r="UOO3" s="994"/>
      <c r="UOP3" s="994"/>
      <c r="UOQ3" s="994"/>
      <c r="UOR3" s="994"/>
      <c r="UOS3" s="994"/>
      <c r="UOT3" s="994"/>
      <c r="UOU3" s="994"/>
      <c r="UOV3" s="994"/>
      <c r="UOW3" s="994"/>
      <c r="UOX3" s="994"/>
      <c r="UOY3" s="994"/>
      <c r="UOZ3" s="994"/>
      <c r="UPA3" s="994"/>
      <c r="UPB3" s="994"/>
      <c r="UPC3" s="994"/>
      <c r="UPD3" s="994"/>
      <c r="UPE3" s="994"/>
      <c r="UPF3" s="994"/>
      <c r="UPG3" s="994"/>
      <c r="UPH3" s="994"/>
      <c r="UPI3" s="994"/>
      <c r="UPJ3" s="994"/>
      <c r="UPK3" s="994"/>
      <c r="UPL3" s="994"/>
      <c r="UPM3" s="994"/>
      <c r="UPN3" s="994"/>
      <c r="UPO3" s="994"/>
      <c r="UPP3" s="994"/>
      <c r="UPQ3" s="994"/>
      <c r="UPR3" s="994"/>
      <c r="UPS3" s="994"/>
      <c r="UPT3" s="994"/>
      <c r="UPU3" s="994"/>
      <c r="UPV3" s="994"/>
      <c r="UPW3" s="994"/>
      <c r="UPX3" s="994"/>
      <c r="UPY3" s="994"/>
      <c r="UPZ3" s="994"/>
      <c r="UQA3" s="994"/>
      <c r="UQB3" s="994"/>
      <c r="UQC3" s="994"/>
      <c r="UQD3" s="994"/>
      <c r="UQE3" s="994"/>
      <c r="UQF3" s="994"/>
      <c r="UQG3" s="994"/>
      <c r="UQH3" s="994"/>
      <c r="UQI3" s="994"/>
      <c r="UQJ3" s="994"/>
      <c r="UQK3" s="994"/>
      <c r="UQL3" s="994"/>
      <c r="UQM3" s="994"/>
      <c r="UQN3" s="994"/>
      <c r="UQO3" s="994"/>
      <c r="UQP3" s="994"/>
      <c r="UQQ3" s="994"/>
      <c r="UQR3" s="994"/>
      <c r="UQS3" s="994"/>
      <c r="UQT3" s="994"/>
      <c r="UQU3" s="994"/>
      <c r="UQV3" s="994"/>
      <c r="UQW3" s="994"/>
      <c r="UQX3" s="994"/>
      <c r="UQY3" s="994"/>
      <c r="UQZ3" s="994"/>
      <c r="URA3" s="994"/>
      <c r="URB3" s="994"/>
      <c r="URC3" s="994"/>
      <c r="URD3" s="994"/>
      <c r="URE3" s="994"/>
      <c r="URF3" s="994"/>
      <c r="URG3" s="994"/>
      <c r="URH3" s="994"/>
      <c r="URI3" s="994"/>
      <c r="URJ3" s="994"/>
      <c r="URK3" s="994"/>
      <c r="URL3" s="994"/>
      <c r="URM3" s="994"/>
      <c r="URN3" s="994"/>
      <c r="URO3" s="994"/>
      <c r="URP3" s="994"/>
      <c r="URQ3" s="994"/>
      <c r="URR3" s="994"/>
      <c r="URS3" s="994"/>
      <c r="URT3" s="994"/>
      <c r="URU3" s="994"/>
      <c r="URV3" s="994"/>
      <c r="URW3" s="994"/>
      <c r="URX3" s="994"/>
      <c r="URY3" s="994"/>
      <c r="URZ3" s="994"/>
      <c r="USA3" s="994"/>
      <c r="USB3" s="994"/>
      <c r="USC3" s="994"/>
      <c r="USD3" s="994"/>
      <c r="USE3" s="994"/>
      <c r="USF3" s="994"/>
      <c r="USG3" s="994"/>
      <c r="USH3" s="994"/>
      <c r="USI3" s="994"/>
      <c r="USJ3" s="994"/>
      <c r="USK3" s="994"/>
      <c r="USL3" s="994"/>
      <c r="USM3" s="994"/>
      <c r="USN3" s="994"/>
      <c r="USO3" s="994"/>
      <c r="USP3" s="994"/>
      <c r="USQ3" s="994"/>
      <c r="USR3" s="994"/>
      <c r="USS3" s="994"/>
      <c r="UST3" s="994"/>
      <c r="USU3" s="994"/>
      <c r="USV3" s="994"/>
      <c r="USW3" s="994"/>
      <c r="USX3" s="994"/>
      <c r="USY3" s="994"/>
      <c r="USZ3" s="994"/>
      <c r="UTA3" s="994"/>
      <c r="UTB3" s="994"/>
      <c r="UTC3" s="994"/>
      <c r="UTD3" s="994"/>
      <c r="UTE3" s="994"/>
      <c r="UTF3" s="994"/>
      <c r="UTG3" s="994"/>
      <c r="UTH3" s="994"/>
      <c r="UTI3" s="994"/>
      <c r="UTJ3" s="994"/>
      <c r="UTK3" s="994"/>
      <c r="UTL3" s="994"/>
      <c r="UTM3" s="994"/>
      <c r="UTN3" s="994"/>
      <c r="UTO3" s="994"/>
      <c r="UTP3" s="994"/>
      <c r="UTQ3" s="994"/>
      <c r="UTR3" s="994"/>
      <c r="UTS3" s="994"/>
      <c r="UTT3" s="994"/>
      <c r="UTU3" s="994"/>
      <c r="UTV3" s="994"/>
      <c r="UTW3" s="994"/>
      <c r="UTX3" s="994"/>
      <c r="UTY3" s="994"/>
      <c r="UTZ3" s="994"/>
      <c r="UUA3" s="994"/>
      <c r="UUB3" s="994"/>
      <c r="UUC3" s="994"/>
      <c r="UUD3" s="994"/>
      <c r="UUE3" s="994"/>
      <c r="UUF3" s="994"/>
      <c r="UUG3" s="994"/>
      <c r="UUH3" s="994"/>
      <c r="UUI3" s="994"/>
      <c r="UUJ3" s="994"/>
      <c r="UUK3" s="994"/>
      <c r="UUL3" s="994"/>
      <c r="UUM3" s="994"/>
      <c r="UUN3" s="994"/>
      <c r="UUO3" s="994"/>
      <c r="UUP3" s="994"/>
      <c r="UUQ3" s="994"/>
      <c r="UUR3" s="994"/>
      <c r="UUS3" s="994"/>
      <c r="UUT3" s="994"/>
      <c r="UUU3" s="994"/>
      <c r="UUV3" s="994"/>
      <c r="UUW3" s="994"/>
      <c r="UUX3" s="994"/>
      <c r="UUY3" s="994"/>
      <c r="UUZ3" s="994"/>
      <c r="UVA3" s="994"/>
      <c r="UVB3" s="994"/>
      <c r="UVC3" s="994"/>
      <c r="UVD3" s="994"/>
      <c r="UVE3" s="994"/>
      <c r="UVF3" s="994"/>
      <c r="UVG3" s="994"/>
      <c r="UVH3" s="994"/>
      <c r="UVI3" s="994"/>
      <c r="UVJ3" s="994"/>
      <c r="UVK3" s="994"/>
      <c r="UVL3" s="994"/>
      <c r="UVM3" s="994"/>
      <c r="UVN3" s="994"/>
      <c r="UVO3" s="994"/>
      <c r="UVP3" s="994"/>
      <c r="UVQ3" s="994"/>
      <c r="UVR3" s="994"/>
      <c r="UVS3" s="994"/>
      <c r="UVT3" s="994"/>
      <c r="UVU3" s="994"/>
      <c r="UVV3" s="994"/>
      <c r="UVW3" s="994"/>
      <c r="UVX3" s="994"/>
      <c r="UVY3" s="994"/>
      <c r="UVZ3" s="994"/>
      <c r="UWA3" s="994"/>
      <c r="UWB3" s="994"/>
      <c r="UWC3" s="994"/>
      <c r="UWD3" s="994"/>
      <c r="UWE3" s="994"/>
      <c r="UWF3" s="994"/>
      <c r="UWG3" s="994"/>
      <c r="UWH3" s="994"/>
      <c r="UWI3" s="994"/>
      <c r="UWJ3" s="994"/>
      <c r="UWK3" s="994"/>
      <c r="UWL3" s="994"/>
      <c r="UWM3" s="994"/>
      <c r="UWN3" s="994"/>
      <c r="UWO3" s="994"/>
      <c r="UWP3" s="994"/>
      <c r="UWQ3" s="994"/>
      <c r="UWR3" s="994"/>
      <c r="UWS3" s="994"/>
      <c r="UWT3" s="994"/>
      <c r="UWU3" s="994"/>
      <c r="UWV3" s="994"/>
      <c r="UWW3" s="994"/>
      <c r="UWX3" s="994"/>
      <c r="UWY3" s="994"/>
      <c r="UWZ3" s="994"/>
      <c r="UXA3" s="994"/>
      <c r="UXB3" s="994"/>
      <c r="UXC3" s="994"/>
      <c r="UXD3" s="994"/>
      <c r="UXE3" s="994"/>
      <c r="UXF3" s="994"/>
      <c r="UXG3" s="994"/>
      <c r="UXH3" s="994"/>
      <c r="UXI3" s="994"/>
      <c r="UXJ3" s="994"/>
      <c r="UXK3" s="994"/>
      <c r="UXL3" s="994"/>
      <c r="UXM3" s="994"/>
      <c r="UXN3" s="994"/>
      <c r="UXO3" s="994"/>
      <c r="UXP3" s="994"/>
      <c r="UXQ3" s="994"/>
      <c r="UXR3" s="994"/>
      <c r="UXS3" s="994"/>
      <c r="UXT3" s="994"/>
      <c r="UXU3" s="994"/>
      <c r="UXV3" s="994"/>
      <c r="UXW3" s="994"/>
      <c r="UXX3" s="994"/>
      <c r="UXY3" s="994"/>
      <c r="UXZ3" s="994"/>
      <c r="UYA3" s="994"/>
      <c r="UYB3" s="994"/>
      <c r="UYC3" s="994"/>
      <c r="UYD3" s="994"/>
      <c r="UYE3" s="994"/>
      <c r="UYF3" s="994"/>
      <c r="UYG3" s="994"/>
      <c r="UYH3" s="994"/>
      <c r="UYI3" s="994"/>
      <c r="UYJ3" s="994"/>
      <c r="UYK3" s="994"/>
      <c r="UYL3" s="994"/>
      <c r="UYM3" s="994"/>
      <c r="UYN3" s="994"/>
      <c r="UYO3" s="994"/>
      <c r="UYP3" s="994"/>
      <c r="UYQ3" s="994"/>
      <c r="UYR3" s="994"/>
      <c r="UYS3" s="994"/>
      <c r="UYT3" s="994"/>
      <c r="UYU3" s="994"/>
      <c r="UYV3" s="994"/>
      <c r="UYW3" s="994"/>
      <c r="UYX3" s="994"/>
      <c r="UYY3" s="994"/>
      <c r="UYZ3" s="994"/>
      <c r="UZA3" s="994"/>
      <c r="UZB3" s="994"/>
      <c r="UZC3" s="994"/>
      <c r="UZD3" s="994"/>
      <c r="UZE3" s="994"/>
      <c r="UZF3" s="994"/>
      <c r="UZG3" s="994"/>
      <c r="UZH3" s="994"/>
      <c r="UZI3" s="994"/>
      <c r="UZJ3" s="994"/>
      <c r="UZK3" s="994"/>
      <c r="UZL3" s="994"/>
      <c r="UZM3" s="994"/>
      <c r="UZN3" s="994"/>
      <c r="UZO3" s="994"/>
      <c r="UZP3" s="994"/>
      <c r="UZQ3" s="994"/>
      <c r="UZR3" s="994"/>
      <c r="UZS3" s="994"/>
      <c r="UZT3" s="994"/>
      <c r="UZU3" s="994"/>
      <c r="UZV3" s="994"/>
      <c r="UZW3" s="994"/>
      <c r="UZX3" s="994"/>
      <c r="UZY3" s="994"/>
      <c r="UZZ3" s="994"/>
      <c r="VAA3" s="994"/>
      <c r="VAB3" s="994"/>
      <c r="VAC3" s="994"/>
      <c r="VAD3" s="994"/>
      <c r="VAE3" s="994"/>
      <c r="VAF3" s="994"/>
      <c r="VAG3" s="994"/>
      <c r="VAH3" s="994"/>
      <c r="VAI3" s="994"/>
      <c r="VAJ3" s="994"/>
      <c r="VAK3" s="994"/>
      <c r="VAL3" s="994"/>
      <c r="VAM3" s="994"/>
      <c r="VAN3" s="994"/>
      <c r="VAO3" s="994"/>
      <c r="VAP3" s="994"/>
      <c r="VAQ3" s="994"/>
      <c r="VAR3" s="994"/>
      <c r="VAS3" s="994"/>
      <c r="VAT3" s="994"/>
      <c r="VAU3" s="994"/>
      <c r="VAV3" s="994"/>
      <c r="VAW3" s="994"/>
      <c r="VAX3" s="994"/>
      <c r="VAY3" s="994"/>
      <c r="VAZ3" s="994"/>
      <c r="VBA3" s="994"/>
      <c r="VBB3" s="994"/>
      <c r="VBC3" s="994"/>
      <c r="VBD3" s="994"/>
      <c r="VBE3" s="994"/>
      <c r="VBF3" s="994"/>
      <c r="VBG3" s="994"/>
      <c r="VBH3" s="994"/>
      <c r="VBI3" s="994"/>
      <c r="VBJ3" s="994"/>
      <c r="VBK3" s="994"/>
      <c r="VBL3" s="994"/>
      <c r="VBM3" s="994"/>
      <c r="VBN3" s="994"/>
      <c r="VBO3" s="994"/>
      <c r="VBP3" s="994"/>
      <c r="VBQ3" s="994"/>
      <c r="VBR3" s="994"/>
      <c r="VBS3" s="994"/>
      <c r="VBT3" s="994"/>
      <c r="VBU3" s="994"/>
      <c r="VBV3" s="994"/>
      <c r="VBW3" s="994"/>
      <c r="VBX3" s="994"/>
      <c r="VBY3" s="994"/>
      <c r="VBZ3" s="994"/>
      <c r="VCA3" s="994"/>
      <c r="VCB3" s="994"/>
      <c r="VCC3" s="994"/>
      <c r="VCD3" s="994"/>
      <c r="VCE3" s="994"/>
      <c r="VCF3" s="994"/>
      <c r="VCG3" s="994"/>
      <c r="VCH3" s="994"/>
      <c r="VCI3" s="994"/>
      <c r="VCJ3" s="994"/>
      <c r="VCK3" s="994"/>
      <c r="VCL3" s="994"/>
      <c r="VCM3" s="994"/>
      <c r="VCN3" s="994"/>
      <c r="VCO3" s="994"/>
      <c r="VCP3" s="994"/>
      <c r="VCQ3" s="994"/>
      <c r="VCR3" s="994"/>
      <c r="VCS3" s="994"/>
      <c r="VCT3" s="994"/>
      <c r="VCU3" s="994"/>
      <c r="VCV3" s="994"/>
      <c r="VCW3" s="994"/>
      <c r="VCX3" s="994"/>
      <c r="VCY3" s="994"/>
      <c r="VCZ3" s="994"/>
      <c r="VDA3" s="994"/>
      <c r="VDB3" s="994"/>
      <c r="VDC3" s="994"/>
      <c r="VDD3" s="994"/>
      <c r="VDE3" s="994"/>
      <c r="VDF3" s="994"/>
      <c r="VDG3" s="994"/>
      <c r="VDH3" s="994"/>
      <c r="VDI3" s="994"/>
      <c r="VDJ3" s="994"/>
      <c r="VDK3" s="994"/>
      <c r="VDL3" s="994"/>
      <c r="VDM3" s="994"/>
      <c r="VDN3" s="994"/>
      <c r="VDO3" s="994"/>
      <c r="VDP3" s="994"/>
      <c r="VDQ3" s="994"/>
      <c r="VDR3" s="994"/>
      <c r="VDS3" s="994"/>
      <c r="VDT3" s="994"/>
      <c r="VDU3" s="994"/>
      <c r="VDV3" s="994"/>
      <c r="VDW3" s="994"/>
      <c r="VDX3" s="994"/>
      <c r="VDY3" s="994"/>
      <c r="VDZ3" s="994"/>
      <c r="VEA3" s="994"/>
      <c r="VEB3" s="994"/>
      <c r="VEC3" s="994"/>
      <c r="VED3" s="994"/>
      <c r="VEE3" s="994"/>
      <c r="VEF3" s="994"/>
      <c r="VEG3" s="994"/>
      <c r="VEH3" s="994"/>
      <c r="VEI3" s="994"/>
      <c r="VEJ3" s="994"/>
      <c r="VEK3" s="994"/>
      <c r="VEL3" s="994"/>
      <c r="VEM3" s="994"/>
      <c r="VEN3" s="994"/>
      <c r="VEO3" s="994"/>
      <c r="VEP3" s="994"/>
      <c r="VEQ3" s="994"/>
      <c r="VER3" s="994"/>
      <c r="VES3" s="994"/>
      <c r="VET3" s="994"/>
      <c r="VEU3" s="994"/>
      <c r="VEV3" s="994"/>
      <c r="VEW3" s="994"/>
      <c r="VEX3" s="994"/>
      <c r="VEY3" s="994"/>
      <c r="VEZ3" s="994"/>
      <c r="VFA3" s="994"/>
      <c r="VFB3" s="994"/>
      <c r="VFC3" s="994"/>
      <c r="VFD3" s="994"/>
      <c r="VFE3" s="994"/>
      <c r="VFF3" s="994"/>
      <c r="VFG3" s="994"/>
      <c r="VFH3" s="994"/>
      <c r="VFI3" s="994"/>
      <c r="VFJ3" s="994"/>
      <c r="VFK3" s="994"/>
      <c r="VFL3" s="994"/>
      <c r="VFM3" s="994"/>
      <c r="VFN3" s="994"/>
      <c r="VFO3" s="994"/>
      <c r="VFP3" s="994"/>
      <c r="VFQ3" s="994"/>
      <c r="VFR3" s="994"/>
      <c r="VFS3" s="994"/>
      <c r="VFT3" s="994"/>
      <c r="VFU3" s="994"/>
      <c r="VFV3" s="994"/>
      <c r="VFW3" s="994"/>
      <c r="VFX3" s="994"/>
      <c r="VFY3" s="994"/>
      <c r="VFZ3" s="994"/>
      <c r="VGA3" s="994"/>
      <c r="VGB3" s="994"/>
      <c r="VGC3" s="994"/>
      <c r="VGD3" s="994"/>
      <c r="VGE3" s="994"/>
      <c r="VGF3" s="994"/>
      <c r="VGG3" s="994"/>
      <c r="VGH3" s="994"/>
      <c r="VGI3" s="994"/>
      <c r="VGJ3" s="994"/>
      <c r="VGK3" s="994"/>
      <c r="VGL3" s="994"/>
      <c r="VGM3" s="994"/>
      <c r="VGN3" s="994"/>
      <c r="VGO3" s="994"/>
      <c r="VGP3" s="994"/>
      <c r="VGQ3" s="994"/>
      <c r="VGR3" s="994"/>
      <c r="VGS3" s="994"/>
      <c r="VGT3" s="994"/>
      <c r="VGU3" s="994"/>
      <c r="VGV3" s="994"/>
      <c r="VGW3" s="994"/>
      <c r="VGX3" s="994"/>
      <c r="VGY3" s="994"/>
      <c r="VGZ3" s="994"/>
      <c r="VHA3" s="994"/>
      <c r="VHB3" s="994"/>
      <c r="VHC3" s="994"/>
      <c r="VHD3" s="994"/>
      <c r="VHE3" s="994"/>
      <c r="VHF3" s="994"/>
      <c r="VHG3" s="994"/>
      <c r="VHH3" s="994"/>
      <c r="VHI3" s="994"/>
      <c r="VHJ3" s="994"/>
      <c r="VHK3" s="994"/>
      <c r="VHL3" s="994"/>
      <c r="VHM3" s="994"/>
      <c r="VHN3" s="994"/>
      <c r="VHO3" s="994"/>
      <c r="VHP3" s="994"/>
      <c r="VHQ3" s="994"/>
      <c r="VHR3" s="994"/>
      <c r="VHS3" s="994"/>
      <c r="VHT3" s="994"/>
      <c r="VHU3" s="994"/>
      <c r="VHV3" s="994"/>
      <c r="VHW3" s="994"/>
      <c r="VHX3" s="994"/>
      <c r="VHY3" s="994"/>
      <c r="VHZ3" s="994"/>
      <c r="VIA3" s="994"/>
      <c r="VIB3" s="994"/>
      <c r="VIC3" s="994"/>
      <c r="VID3" s="994"/>
      <c r="VIE3" s="994"/>
      <c r="VIF3" s="994"/>
      <c r="VIG3" s="994"/>
      <c r="VIH3" s="994"/>
      <c r="VII3" s="994"/>
      <c r="VIJ3" s="994"/>
      <c r="VIK3" s="994"/>
      <c r="VIL3" s="994"/>
      <c r="VIM3" s="994"/>
      <c r="VIN3" s="994"/>
      <c r="VIO3" s="994"/>
      <c r="VIP3" s="994"/>
      <c r="VIQ3" s="994"/>
      <c r="VIR3" s="994"/>
      <c r="VIS3" s="994"/>
      <c r="VIT3" s="994"/>
      <c r="VIU3" s="994"/>
      <c r="VIV3" s="994"/>
      <c r="VIW3" s="994"/>
      <c r="VIX3" s="994"/>
      <c r="VIY3" s="994"/>
      <c r="VIZ3" s="994"/>
      <c r="VJA3" s="994"/>
      <c r="VJB3" s="994"/>
      <c r="VJC3" s="994"/>
      <c r="VJD3" s="994"/>
      <c r="VJE3" s="994"/>
      <c r="VJF3" s="994"/>
      <c r="VJG3" s="994"/>
      <c r="VJH3" s="994"/>
      <c r="VJI3" s="994"/>
      <c r="VJJ3" s="994"/>
      <c r="VJK3" s="994"/>
      <c r="VJL3" s="994"/>
      <c r="VJM3" s="994"/>
      <c r="VJN3" s="994"/>
      <c r="VJO3" s="994"/>
      <c r="VJP3" s="994"/>
      <c r="VJQ3" s="994"/>
      <c r="VJR3" s="994"/>
      <c r="VJS3" s="994"/>
      <c r="VJT3" s="994"/>
      <c r="VJU3" s="994"/>
      <c r="VJV3" s="994"/>
      <c r="VJW3" s="994"/>
      <c r="VJX3" s="994"/>
      <c r="VJY3" s="994"/>
      <c r="VJZ3" s="994"/>
      <c r="VKA3" s="994"/>
      <c r="VKB3" s="994"/>
      <c r="VKC3" s="994"/>
      <c r="VKD3" s="994"/>
      <c r="VKE3" s="994"/>
      <c r="VKF3" s="994"/>
      <c r="VKG3" s="994"/>
      <c r="VKH3" s="994"/>
      <c r="VKI3" s="994"/>
      <c r="VKJ3" s="994"/>
      <c r="VKK3" s="994"/>
      <c r="VKL3" s="994"/>
      <c r="VKM3" s="994"/>
      <c r="VKN3" s="994"/>
      <c r="VKO3" s="994"/>
      <c r="VKP3" s="994"/>
      <c r="VKQ3" s="994"/>
      <c r="VKR3" s="994"/>
      <c r="VKS3" s="994"/>
      <c r="VKT3" s="994"/>
      <c r="VKU3" s="994"/>
      <c r="VKV3" s="994"/>
      <c r="VKW3" s="994"/>
      <c r="VKX3" s="994"/>
      <c r="VKY3" s="994"/>
      <c r="VKZ3" s="994"/>
      <c r="VLA3" s="994"/>
      <c r="VLB3" s="994"/>
      <c r="VLC3" s="994"/>
      <c r="VLD3" s="994"/>
      <c r="VLE3" s="994"/>
      <c r="VLF3" s="994"/>
      <c r="VLG3" s="994"/>
      <c r="VLH3" s="994"/>
      <c r="VLI3" s="994"/>
      <c r="VLJ3" s="994"/>
      <c r="VLK3" s="994"/>
      <c r="VLL3" s="994"/>
      <c r="VLM3" s="994"/>
      <c r="VLN3" s="994"/>
      <c r="VLO3" s="994"/>
      <c r="VLP3" s="994"/>
      <c r="VLQ3" s="994"/>
      <c r="VLR3" s="994"/>
      <c r="VLS3" s="994"/>
      <c r="VLT3" s="994"/>
      <c r="VLU3" s="994"/>
      <c r="VLV3" s="994"/>
      <c r="VLW3" s="994"/>
      <c r="VLX3" s="994"/>
      <c r="VLY3" s="994"/>
      <c r="VLZ3" s="994"/>
      <c r="VMA3" s="994"/>
      <c r="VMB3" s="994"/>
      <c r="VMC3" s="994"/>
      <c r="VMD3" s="994"/>
      <c r="VME3" s="994"/>
      <c r="VMF3" s="994"/>
      <c r="VMG3" s="994"/>
      <c r="VMH3" s="994"/>
      <c r="VMI3" s="994"/>
      <c r="VMJ3" s="994"/>
      <c r="VMK3" s="994"/>
      <c r="VML3" s="994"/>
      <c r="VMM3" s="994"/>
      <c r="VMN3" s="994"/>
      <c r="VMO3" s="994"/>
      <c r="VMP3" s="994"/>
      <c r="VMQ3" s="994"/>
      <c r="VMR3" s="994"/>
      <c r="VMS3" s="994"/>
      <c r="VMT3" s="994"/>
      <c r="VMU3" s="994"/>
      <c r="VMV3" s="994"/>
      <c r="VMW3" s="994"/>
      <c r="VMX3" s="994"/>
      <c r="VMY3" s="994"/>
      <c r="VMZ3" s="994"/>
      <c r="VNA3" s="994"/>
      <c r="VNB3" s="994"/>
      <c r="VNC3" s="994"/>
      <c r="VND3" s="994"/>
      <c r="VNE3" s="994"/>
      <c r="VNF3" s="994"/>
      <c r="VNG3" s="994"/>
      <c r="VNH3" s="994"/>
      <c r="VNI3" s="994"/>
      <c r="VNJ3" s="994"/>
      <c r="VNK3" s="994"/>
      <c r="VNL3" s="994"/>
      <c r="VNM3" s="994"/>
      <c r="VNN3" s="994"/>
      <c r="VNO3" s="994"/>
      <c r="VNP3" s="994"/>
      <c r="VNQ3" s="994"/>
      <c r="VNR3" s="994"/>
      <c r="VNS3" s="994"/>
      <c r="VNT3" s="994"/>
      <c r="VNU3" s="994"/>
      <c r="VNV3" s="994"/>
      <c r="VNW3" s="994"/>
      <c r="VNX3" s="994"/>
      <c r="VNY3" s="994"/>
      <c r="VNZ3" s="994"/>
      <c r="VOA3" s="994"/>
      <c r="VOB3" s="994"/>
      <c r="VOC3" s="994"/>
      <c r="VOD3" s="994"/>
      <c r="VOE3" s="994"/>
      <c r="VOF3" s="994"/>
      <c r="VOG3" s="994"/>
      <c r="VOH3" s="994"/>
      <c r="VOI3" s="994"/>
      <c r="VOJ3" s="994"/>
      <c r="VOK3" s="994"/>
      <c r="VOL3" s="994"/>
      <c r="VOM3" s="994"/>
      <c r="VON3" s="994"/>
      <c r="VOO3" s="994"/>
      <c r="VOP3" s="994"/>
      <c r="VOQ3" s="994"/>
      <c r="VOR3" s="994"/>
      <c r="VOS3" s="994"/>
      <c r="VOT3" s="994"/>
      <c r="VOU3" s="994"/>
      <c r="VOV3" s="994"/>
      <c r="VOW3" s="994"/>
      <c r="VOX3" s="994"/>
      <c r="VOY3" s="994"/>
      <c r="VOZ3" s="994"/>
      <c r="VPA3" s="994"/>
      <c r="VPB3" s="994"/>
      <c r="VPC3" s="994"/>
      <c r="VPD3" s="994"/>
      <c r="VPE3" s="994"/>
      <c r="VPF3" s="994"/>
      <c r="VPG3" s="994"/>
      <c r="VPH3" s="994"/>
      <c r="VPI3" s="994"/>
      <c r="VPJ3" s="994"/>
      <c r="VPK3" s="994"/>
      <c r="VPL3" s="994"/>
      <c r="VPM3" s="994"/>
      <c r="VPN3" s="994"/>
      <c r="VPO3" s="994"/>
      <c r="VPP3" s="994"/>
      <c r="VPQ3" s="994"/>
      <c r="VPR3" s="994"/>
      <c r="VPS3" s="994"/>
      <c r="VPT3" s="994"/>
      <c r="VPU3" s="994"/>
      <c r="VPV3" s="994"/>
      <c r="VPW3" s="994"/>
      <c r="VPX3" s="994"/>
      <c r="VPY3" s="994"/>
      <c r="VPZ3" s="994"/>
      <c r="VQA3" s="994"/>
      <c r="VQB3" s="994"/>
      <c r="VQC3" s="994"/>
      <c r="VQD3" s="994"/>
      <c r="VQE3" s="994"/>
      <c r="VQF3" s="994"/>
      <c r="VQG3" s="994"/>
      <c r="VQH3" s="994"/>
      <c r="VQI3" s="994"/>
      <c r="VQJ3" s="994"/>
      <c r="VQK3" s="994"/>
      <c r="VQL3" s="994"/>
      <c r="VQM3" s="994"/>
      <c r="VQN3" s="994"/>
      <c r="VQO3" s="994"/>
      <c r="VQP3" s="994"/>
      <c r="VQQ3" s="994"/>
      <c r="VQR3" s="994"/>
      <c r="VQS3" s="994"/>
      <c r="VQT3" s="994"/>
      <c r="VQU3" s="994"/>
      <c r="VQV3" s="994"/>
      <c r="VQW3" s="994"/>
      <c r="VQX3" s="994"/>
      <c r="VQY3" s="994"/>
      <c r="VQZ3" s="994"/>
      <c r="VRA3" s="994"/>
      <c r="VRB3" s="994"/>
      <c r="VRC3" s="994"/>
      <c r="VRD3" s="994"/>
      <c r="VRE3" s="994"/>
      <c r="VRF3" s="994"/>
      <c r="VRG3" s="994"/>
      <c r="VRH3" s="994"/>
      <c r="VRI3" s="994"/>
      <c r="VRJ3" s="994"/>
      <c r="VRK3" s="994"/>
      <c r="VRL3" s="994"/>
      <c r="VRM3" s="994"/>
      <c r="VRN3" s="994"/>
      <c r="VRO3" s="994"/>
      <c r="VRP3" s="994"/>
      <c r="VRQ3" s="994"/>
      <c r="VRR3" s="994"/>
      <c r="VRS3" s="994"/>
      <c r="VRT3" s="994"/>
      <c r="VRU3" s="994"/>
      <c r="VRV3" s="994"/>
      <c r="VRW3" s="994"/>
      <c r="VRX3" s="994"/>
      <c r="VRY3" s="994"/>
      <c r="VRZ3" s="994"/>
      <c r="VSA3" s="994"/>
      <c r="VSB3" s="994"/>
      <c r="VSC3" s="994"/>
      <c r="VSD3" s="994"/>
      <c r="VSE3" s="994"/>
      <c r="VSF3" s="994"/>
      <c r="VSG3" s="994"/>
      <c r="VSH3" s="994"/>
      <c r="VSI3" s="994"/>
      <c r="VSJ3" s="994"/>
      <c r="VSK3" s="994"/>
      <c r="VSL3" s="994"/>
      <c r="VSM3" s="994"/>
      <c r="VSN3" s="994"/>
      <c r="VSO3" s="994"/>
      <c r="VSP3" s="994"/>
      <c r="VSQ3" s="994"/>
      <c r="VSR3" s="994"/>
      <c r="VSS3" s="994"/>
      <c r="VST3" s="994"/>
      <c r="VSU3" s="994"/>
      <c r="VSV3" s="994"/>
      <c r="VSW3" s="994"/>
      <c r="VSX3" s="994"/>
      <c r="VSY3" s="994"/>
      <c r="VSZ3" s="994"/>
      <c r="VTA3" s="994"/>
      <c r="VTB3" s="994"/>
      <c r="VTC3" s="994"/>
      <c r="VTD3" s="994"/>
      <c r="VTE3" s="994"/>
      <c r="VTF3" s="994"/>
      <c r="VTG3" s="994"/>
      <c r="VTH3" s="994"/>
      <c r="VTI3" s="994"/>
      <c r="VTJ3" s="994"/>
      <c r="VTK3" s="994"/>
      <c r="VTL3" s="994"/>
      <c r="VTM3" s="994"/>
      <c r="VTN3" s="994"/>
      <c r="VTO3" s="994"/>
      <c r="VTP3" s="994"/>
      <c r="VTQ3" s="994"/>
      <c r="VTR3" s="994"/>
      <c r="VTS3" s="994"/>
      <c r="VTT3" s="994"/>
      <c r="VTU3" s="994"/>
      <c r="VTV3" s="994"/>
      <c r="VTW3" s="994"/>
      <c r="VTX3" s="994"/>
      <c r="VTY3" s="994"/>
      <c r="VTZ3" s="994"/>
      <c r="VUA3" s="994"/>
      <c r="VUB3" s="994"/>
      <c r="VUC3" s="994"/>
      <c r="VUD3" s="994"/>
      <c r="VUE3" s="994"/>
      <c r="VUF3" s="994"/>
      <c r="VUG3" s="994"/>
      <c r="VUH3" s="994"/>
      <c r="VUI3" s="994"/>
      <c r="VUJ3" s="994"/>
      <c r="VUK3" s="994"/>
      <c r="VUL3" s="994"/>
      <c r="VUM3" s="994"/>
      <c r="VUN3" s="994"/>
      <c r="VUO3" s="994"/>
      <c r="VUP3" s="994"/>
      <c r="VUQ3" s="994"/>
      <c r="VUR3" s="994"/>
      <c r="VUS3" s="994"/>
      <c r="VUT3" s="994"/>
      <c r="VUU3" s="994"/>
      <c r="VUV3" s="994"/>
      <c r="VUW3" s="994"/>
      <c r="VUX3" s="994"/>
      <c r="VUY3" s="994"/>
      <c r="VUZ3" s="994"/>
      <c r="VVA3" s="994"/>
      <c r="VVB3" s="994"/>
      <c r="VVC3" s="994"/>
      <c r="VVD3" s="994"/>
      <c r="VVE3" s="994"/>
      <c r="VVF3" s="994"/>
      <c r="VVG3" s="994"/>
      <c r="VVH3" s="994"/>
      <c r="VVI3" s="994"/>
      <c r="VVJ3" s="994"/>
      <c r="VVK3" s="994"/>
      <c r="VVL3" s="994"/>
      <c r="VVM3" s="994"/>
      <c r="VVN3" s="994"/>
      <c r="VVO3" s="994"/>
      <c r="VVP3" s="994"/>
      <c r="VVQ3" s="994"/>
      <c r="VVR3" s="994"/>
      <c r="VVS3" s="994"/>
      <c r="VVT3" s="994"/>
      <c r="VVU3" s="994"/>
      <c r="VVV3" s="994"/>
      <c r="VVW3" s="994"/>
      <c r="VVX3" s="994"/>
      <c r="VVY3" s="994"/>
      <c r="VVZ3" s="994"/>
      <c r="VWA3" s="994"/>
      <c r="VWB3" s="994"/>
      <c r="VWC3" s="994"/>
      <c r="VWD3" s="994"/>
      <c r="VWE3" s="994"/>
      <c r="VWF3" s="994"/>
      <c r="VWG3" s="994"/>
      <c r="VWH3" s="994"/>
      <c r="VWI3" s="994"/>
      <c r="VWJ3" s="994"/>
      <c r="VWK3" s="994"/>
      <c r="VWL3" s="994"/>
      <c r="VWM3" s="994"/>
      <c r="VWN3" s="994"/>
      <c r="VWO3" s="994"/>
      <c r="VWP3" s="994"/>
      <c r="VWQ3" s="994"/>
      <c r="VWR3" s="994"/>
      <c r="VWS3" s="994"/>
      <c r="VWT3" s="994"/>
      <c r="VWU3" s="994"/>
      <c r="VWV3" s="994"/>
      <c r="VWW3" s="994"/>
      <c r="VWX3" s="994"/>
      <c r="VWY3" s="994"/>
      <c r="VWZ3" s="994"/>
      <c r="VXA3" s="994"/>
      <c r="VXB3" s="994"/>
      <c r="VXC3" s="994"/>
      <c r="VXD3" s="994"/>
      <c r="VXE3" s="994"/>
      <c r="VXF3" s="994"/>
      <c r="VXG3" s="994"/>
      <c r="VXH3" s="994"/>
      <c r="VXI3" s="994"/>
      <c r="VXJ3" s="994"/>
      <c r="VXK3" s="994"/>
      <c r="VXL3" s="994"/>
      <c r="VXM3" s="994"/>
      <c r="VXN3" s="994"/>
      <c r="VXO3" s="994"/>
      <c r="VXP3" s="994"/>
      <c r="VXQ3" s="994"/>
      <c r="VXR3" s="994"/>
      <c r="VXS3" s="994"/>
      <c r="VXT3" s="994"/>
      <c r="VXU3" s="994"/>
      <c r="VXV3" s="994"/>
      <c r="VXW3" s="994"/>
      <c r="VXX3" s="994"/>
      <c r="VXY3" s="994"/>
      <c r="VXZ3" s="994"/>
      <c r="VYA3" s="994"/>
      <c r="VYB3" s="994"/>
      <c r="VYC3" s="994"/>
      <c r="VYD3" s="994"/>
      <c r="VYE3" s="994"/>
      <c r="VYF3" s="994"/>
      <c r="VYG3" s="994"/>
      <c r="VYH3" s="994"/>
      <c r="VYI3" s="994"/>
      <c r="VYJ3" s="994"/>
      <c r="VYK3" s="994"/>
      <c r="VYL3" s="994"/>
      <c r="VYM3" s="994"/>
      <c r="VYN3" s="994"/>
      <c r="VYO3" s="994"/>
      <c r="VYP3" s="994"/>
      <c r="VYQ3" s="994"/>
      <c r="VYR3" s="994"/>
      <c r="VYS3" s="994"/>
      <c r="VYT3" s="994"/>
      <c r="VYU3" s="994"/>
      <c r="VYV3" s="994"/>
      <c r="VYW3" s="994"/>
      <c r="VYX3" s="994"/>
      <c r="VYY3" s="994"/>
      <c r="VYZ3" s="994"/>
      <c r="VZA3" s="994"/>
      <c r="VZB3" s="994"/>
      <c r="VZC3" s="994"/>
      <c r="VZD3" s="994"/>
      <c r="VZE3" s="994"/>
      <c r="VZF3" s="994"/>
      <c r="VZG3" s="994"/>
      <c r="VZH3" s="994"/>
      <c r="VZI3" s="994"/>
      <c r="VZJ3" s="994"/>
      <c r="VZK3" s="994"/>
      <c r="VZL3" s="994"/>
      <c r="VZM3" s="994"/>
      <c r="VZN3" s="994"/>
      <c r="VZO3" s="994"/>
      <c r="VZP3" s="994"/>
      <c r="VZQ3" s="994"/>
      <c r="VZR3" s="994"/>
      <c r="VZS3" s="994"/>
      <c r="VZT3" s="994"/>
      <c r="VZU3" s="994"/>
      <c r="VZV3" s="994"/>
      <c r="VZW3" s="994"/>
      <c r="VZX3" s="994"/>
      <c r="VZY3" s="994"/>
      <c r="VZZ3" s="994"/>
      <c r="WAA3" s="994"/>
      <c r="WAB3" s="994"/>
      <c r="WAC3" s="994"/>
      <c r="WAD3" s="994"/>
      <c r="WAE3" s="994"/>
      <c r="WAF3" s="994"/>
      <c r="WAG3" s="994"/>
      <c r="WAH3" s="994"/>
      <c r="WAI3" s="994"/>
      <c r="WAJ3" s="994"/>
      <c r="WAK3" s="994"/>
      <c r="WAL3" s="994"/>
      <c r="WAM3" s="994"/>
      <c r="WAN3" s="994"/>
      <c r="WAO3" s="994"/>
      <c r="WAP3" s="994"/>
      <c r="WAQ3" s="994"/>
      <c r="WAR3" s="994"/>
      <c r="WAS3" s="994"/>
      <c r="WAT3" s="994"/>
      <c r="WAU3" s="994"/>
      <c r="WAV3" s="994"/>
      <c r="WAW3" s="994"/>
      <c r="WAX3" s="994"/>
      <c r="WAY3" s="994"/>
      <c r="WAZ3" s="994"/>
      <c r="WBA3" s="994"/>
      <c r="WBB3" s="994"/>
      <c r="WBC3" s="994"/>
      <c r="WBD3" s="994"/>
      <c r="WBE3" s="994"/>
      <c r="WBF3" s="994"/>
      <c r="WBG3" s="994"/>
      <c r="WBH3" s="994"/>
      <c r="WBI3" s="994"/>
      <c r="WBJ3" s="994"/>
      <c r="WBK3" s="994"/>
      <c r="WBL3" s="994"/>
      <c r="WBM3" s="994"/>
      <c r="WBN3" s="994"/>
      <c r="WBO3" s="994"/>
      <c r="WBP3" s="994"/>
      <c r="WBQ3" s="994"/>
      <c r="WBR3" s="994"/>
      <c r="WBS3" s="994"/>
      <c r="WBT3" s="994"/>
      <c r="WBU3" s="994"/>
      <c r="WBV3" s="994"/>
      <c r="WBW3" s="994"/>
      <c r="WBX3" s="994"/>
      <c r="WBY3" s="994"/>
      <c r="WBZ3" s="994"/>
      <c r="WCA3" s="994"/>
      <c r="WCB3" s="994"/>
      <c r="WCC3" s="994"/>
      <c r="WCD3" s="994"/>
      <c r="WCE3" s="994"/>
      <c r="WCF3" s="994"/>
      <c r="WCG3" s="994"/>
      <c r="WCH3" s="994"/>
      <c r="WCI3" s="994"/>
      <c r="WCJ3" s="994"/>
      <c r="WCK3" s="994"/>
      <c r="WCL3" s="994"/>
      <c r="WCM3" s="994"/>
      <c r="WCN3" s="994"/>
      <c r="WCO3" s="994"/>
      <c r="WCP3" s="994"/>
      <c r="WCQ3" s="994"/>
      <c r="WCR3" s="994"/>
      <c r="WCS3" s="994"/>
      <c r="WCT3" s="994"/>
      <c r="WCU3" s="994"/>
      <c r="WCV3" s="994"/>
      <c r="WCW3" s="994"/>
      <c r="WCX3" s="994"/>
      <c r="WCY3" s="994"/>
      <c r="WCZ3" s="994"/>
      <c r="WDA3" s="994"/>
      <c r="WDB3" s="994"/>
      <c r="WDC3" s="994"/>
      <c r="WDD3" s="994"/>
      <c r="WDE3" s="994"/>
      <c r="WDF3" s="994"/>
      <c r="WDG3" s="994"/>
      <c r="WDH3" s="994"/>
      <c r="WDI3" s="994"/>
      <c r="WDJ3" s="994"/>
      <c r="WDK3" s="994"/>
      <c r="WDL3" s="994"/>
      <c r="WDM3" s="994"/>
      <c r="WDN3" s="994"/>
      <c r="WDO3" s="994"/>
      <c r="WDP3" s="994"/>
      <c r="WDQ3" s="994"/>
      <c r="WDR3" s="994"/>
      <c r="WDS3" s="994"/>
      <c r="WDT3" s="994"/>
      <c r="WDU3" s="994"/>
      <c r="WDV3" s="994"/>
      <c r="WDW3" s="994"/>
      <c r="WDX3" s="994"/>
      <c r="WDY3" s="994"/>
      <c r="WDZ3" s="994"/>
      <c r="WEA3" s="994"/>
      <c r="WEB3" s="994"/>
      <c r="WEC3" s="994"/>
      <c r="WED3" s="994"/>
      <c r="WEE3" s="994"/>
      <c r="WEF3" s="994"/>
      <c r="WEG3" s="994"/>
      <c r="WEH3" s="994"/>
      <c r="WEI3" s="994"/>
      <c r="WEJ3" s="994"/>
      <c r="WEK3" s="994"/>
      <c r="WEL3" s="994"/>
      <c r="WEM3" s="994"/>
      <c r="WEN3" s="994"/>
      <c r="WEO3" s="994"/>
      <c r="WEP3" s="994"/>
      <c r="WEQ3" s="994"/>
      <c r="WER3" s="994"/>
      <c r="WES3" s="994"/>
      <c r="WET3" s="994"/>
      <c r="WEU3" s="994"/>
      <c r="WEV3" s="994"/>
      <c r="WEW3" s="994"/>
      <c r="WEX3" s="994"/>
      <c r="WEY3" s="994"/>
      <c r="WEZ3" s="994"/>
      <c r="WFA3" s="994"/>
      <c r="WFB3" s="994"/>
      <c r="WFC3" s="994"/>
      <c r="WFD3" s="994"/>
      <c r="WFE3" s="994"/>
      <c r="WFF3" s="994"/>
      <c r="WFG3" s="994"/>
      <c r="WFH3" s="994"/>
      <c r="WFI3" s="994"/>
      <c r="WFJ3" s="994"/>
      <c r="WFK3" s="994"/>
      <c r="WFL3" s="994"/>
      <c r="WFM3" s="994"/>
      <c r="WFN3" s="994"/>
      <c r="WFO3" s="994"/>
      <c r="WFP3" s="994"/>
      <c r="WFQ3" s="994"/>
      <c r="WFR3" s="994"/>
      <c r="WFS3" s="994"/>
      <c r="WFT3" s="994"/>
      <c r="WFU3" s="994"/>
      <c r="WFV3" s="994"/>
      <c r="WFW3" s="994"/>
      <c r="WFX3" s="994"/>
      <c r="WFY3" s="994"/>
      <c r="WFZ3" s="994"/>
      <c r="WGA3" s="994"/>
      <c r="WGB3" s="994"/>
      <c r="WGC3" s="994"/>
      <c r="WGD3" s="994"/>
      <c r="WGE3" s="994"/>
      <c r="WGF3" s="994"/>
      <c r="WGG3" s="994"/>
      <c r="WGH3" s="994"/>
      <c r="WGI3" s="994"/>
      <c r="WGJ3" s="994"/>
      <c r="WGK3" s="994"/>
      <c r="WGL3" s="994"/>
      <c r="WGM3" s="994"/>
      <c r="WGN3" s="994"/>
      <c r="WGO3" s="994"/>
      <c r="WGP3" s="994"/>
      <c r="WGQ3" s="994"/>
      <c r="WGR3" s="994"/>
      <c r="WGS3" s="994"/>
      <c r="WGT3" s="994"/>
      <c r="WGU3" s="994"/>
      <c r="WGV3" s="994"/>
      <c r="WGW3" s="994"/>
      <c r="WGX3" s="994"/>
      <c r="WGY3" s="994"/>
      <c r="WGZ3" s="994"/>
      <c r="WHA3" s="994"/>
      <c r="WHB3" s="994"/>
      <c r="WHC3" s="994"/>
      <c r="WHD3" s="994"/>
      <c r="WHE3" s="994"/>
      <c r="WHF3" s="994"/>
      <c r="WHG3" s="994"/>
      <c r="WHH3" s="994"/>
      <c r="WHI3" s="994"/>
      <c r="WHJ3" s="994"/>
      <c r="WHK3" s="994"/>
      <c r="WHL3" s="994"/>
      <c r="WHM3" s="994"/>
      <c r="WHN3" s="994"/>
      <c r="WHO3" s="994"/>
      <c r="WHP3" s="994"/>
      <c r="WHQ3" s="994"/>
      <c r="WHR3" s="994"/>
      <c r="WHS3" s="994"/>
      <c r="WHT3" s="994"/>
      <c r="WHU3" s="994"/>
      <c r="WHV3" s="994"/>
      <c r="WHW3" s="994"/>
      <c r="WHX3" s="994"/>
      <c r="WHY3" s="994"/>
      <c r="WHZ3" s="994"/>
      <c r="WIA3" s="994"/>
      <c r="WIB3" s="994"/>
      <c r="WIC3" s="994"/>
      <c r="WID3" s="994"/>
      <c r="WIE3" s="994"/>
      <c r="WIF3" s="994"/>
      <c r="WIG3" s="994"/>
      <c r="WIH3" s="994"/>
      <c r="WII3" s="994"/>
      <c r="WIJ3" s="994"/>
      <c r="WIK3" s="994"/>
      <c r="WIL3" s="994"/>
      <c r="WIM3" s="994"/>
      <c r="WIN3" s="994"/>
      <c r="WIO3" s="994"/>
      <c r="WIP3" s="994"/>
      <c r="WIQ3" s="994"/>
      <c r="WIR3" s="994"/>
      <c r="WIS3" s="994"/>
      <c r="WIT3" s="994"/>
      <c r="WIU3" s="994"/>
      <c r="WIV3" s="994"/>
      <c r="WIW3" s="994"/>
      <c r="WIX3" s="994"/>
      <c r="WIY3" s="994"/>
      <c r="WIZ3" s="994"/>
      <c r="WJA3" s="994"/>
      <c r="WJB3" s="994"/>
      <c r="WJC3" s="994"/>
      <c r="WJD3" s="994"/>
      <c r="WJE3" s="994"/>
      <c r="WJF3" s="994"/>
      <c r="WJG3" s="994"/>
      <c r="WJH3" s="994"/>
      <c r="WJI3" s="994"/>
      <c r="WJJ3" s="994"/>
      <c r="WJK3" s="994"/>
      <c r="WJL3" s="994"/>
      <c r="WJM3" s="994"/>
      <c r="WJN3" s="994"/>
      <c r="WJO3" s="994"/>
      <c r="WJP3" s="994"/>
      <c r="WJQ3" s="994"/>
      <c r="WJR3" s="994"/>
      <c r="WJS3" s="994"/>
      <c r="WJT3" s="994"/>
      <c r="WJU3" s="994"/>
      <c r="WJV3" s="994"/>
      <c r="WJW3" s="994"/>
      <c r="WJX3" s="994"/>
      <c r="WJY3" s="994"/>
      <c r="WJZ3" s="994"/>
      <c r="WKA3" s="994"/>
      <c r="WKB3" s="994"/>
      <c r="WKC3" s="994"/>
      <c r="WKD3" s="994"/>
      <c r="WKE3" s="994"/>
      <c r="WKF3" s="994"/>
      <c r="WKG3" s="994"/>
      <c r="WKH3" s="994"/>
      <c r="WKI3" s="994"/>
      <c r="WKJ3" s="994"/>
      <c r="WKK3" s="994"/>
      <c r="WKL3" s="994"/>
      <c r="WKM3" s="994"/>
      <c r="WKN3" s="994"/>
      <c r="WKO3" s="994"/>
      <c r="WKP3" s="994"/>
      <c r="WKQ3" s="994"/>
      <c r="WKR3" s="994"/>
      <c r="WKS3" s="994"/>
      <c r="WKT3" s="994"/>
      <c r="WKU3" s="994"/>
      <c r="WKV3" s="994"/>
      <c r="WKW3" s="994"/>
      <c r="WKX3" s="994"/>
      <c r="WKY3" s="994"/>
      <c r="WKZ3" s="994"/>
      <c r="WLA3" s="994"/>
      <c r="WLB3" s="994"/>
      <c r="WLC3" s="994"/>
      <c r="WLD3" s="994"/>
      <c r="WLE3" s="994"/>
      <c r="WLF3" s="994"/>
      <c r="WLG3" s="994"/>
      <c r="WLH3" s="994"/>
      <c r="WLI3" s="994"/>
      <c r="WLJ3" s="994"/>
      <c r="WLK3" s="994"/>
      <c r="WLL3" s="994"/>
      <c r="WLM3" s="994"/>
      <c r="WLN3" s="994"/>
      <c r="WLO3" s="994"/>
      <c r="WLP3" s="994"/>
      <c r="WLQ3" s="994"/>
      <c r="WLR3" s="994"/>
      <c r="WLS3" s="994"/>
      <c r="WLT3" s="994"/>
      <c r="WLU3" s="994"/>
      <c r="WLV3" s="994"/>
      <c r="WLW3" s="994"/>
      <c r="WLX3" s="994"/>
      <c r="WLY3" s="994"/>
      <c r="WLZ3" s="994"/>
      <c r="WMA3" s="994"/>
      <c r="WMB3" s="994"/>
      <c r="WMC3" s="994"/>
      <c r="WMD3" s="994"/>
      <c r="WME3" s="994"/>
      <c r="WMF3" s="994"/>
      <c r="WMG3" s="994"/>
      <c r="WMH3" s="994"/>
      <c r="WMI3" s="994"/>
      <c r="WMJ3" s="994"/>
      <c r="WMK3" s="994"/>
      <c r="WML3" s="994"/>
      <c r="WMM3" s="994"/>
      <c r="WMN3" s="994"/>
      <c r="WMO3" s="994"/>
      <c r="WMP3" s="994"/>
      <c r="WMQ3" s="994"/>
      <c r="WMR3" s="994"/>
      <c r="WMS3" s="994"/>
      <c r="WMT3" s="994"/>
      <c r="WMU3" s="994"/>
      <c r="WMV3" s="994"/>
      <c r="WMW3" s="994"/>
      <c r="WMX3" s="994"/>
      <c r="WMY3" s="994"/>
      <c r="WMZ3" s="994"/>
      <c r="WNA3" s="994"/>
      <c r="WNB3" s="994"/>
      <c r="WNC3" s="994"/>
      <c r="WND3" s="994"/>
      <c r="WNE3" s="994"/>
      <c r="WNF3" s="994"/>
      <c r="WNG3" s="994"/>
      <c r="WNH3" s="994"/>
      <c r="WNI3" s="994"/>
      <c r="WNJ3" s="994"/>
      <c r="WNK3" s="994"/>
      <c r="WNL3" s="994"/>
      <c r="WNM3" s="994"/>
      <c r="WNN3" s="994"/>
      <c r="WNO3" s="994"/>
      <c r="WNP3" s="994"/>
      <c r="WNQ3" s="994"/>
      <c r="WNR3" s="994"/>
      <c r="WNS3" s="994"/>
      <c r="WNT3" s="994"/>
      <c r="WNU3" s="994"/>
      <c r="WNV3" s="994"/>
      <c r="WNW3" s="994"/>
      <c r="WNX3" s="994"/>
      <c r="WNY3" s="994"/>
      <c r="WNZ3" s="994"/>
      <c r="WOA3" s="994"/>
      <c r="WOB3" s="994"/>
      <c r="WOC3" s="994"/>
      <c r="WOD3" s="994"/>
      <c r="WOE3" s="994"/>
      <c r="WOF3" s="994"/>
      <c r="WOG3" s="994"/>
      <c r="WOH3" s="994"/>
      <c r="WOI3" s="994"/>
      <c r="WOJ3" s="994"/>
      <c r="WOK3" s="994"/>
      <c r="WOL3" s="994"/>
      <c r="WOM3" s="994"/>
      <c r="WON3" s="994"/>
      <c r="WOO3" s="994"/>
      <c r="WOP3" s="994"/>
      <c r="WOQ3" s="994"/>
      <c r="WOR3" s="994"/>
      <c r="WOS3" s="994"/>
      <c r="WOT3" s="994"/>
      <c r="WOU3" s="994"/>
      <c r="WOV3" s="994"/>
      <c r="WOW3" s="994"/>
      <c r="WOX3" s="994"/>
      <c r="WOY3" s="994"/>
      <c r="WOZ3" s="994"/>
      <c r="WPA3" s="994"/>
      <c r="WPB3" s="994"/>
      <c r="WPC3" s="994"/>
      <c r="WPD3" s="994"/>
      <c r="WPE3" s="994"/>
      <c r="WPF3" s="994"/>
      <c r="WPG3" s="994"/>
      <c r="WPH3" s="994"/>
      <c r="WPI3" s="994"/>
      <c r="WPJ3" s="994"/>
      <c r="WPK3" s="994"/>
      <c r="WPL3" s="994"/>
      <c r="WPM3" s="994"/>
      <c r="WPN3" s="994"/>
      <c r="WPO3" s="994"/>
      <c r="WPP3" s="994"/>
      <c r="WPQ3" s="994"/>
      <c r="WPR3" s="994"/>
      <c r="WPS3" s="994"/>
      <c r="WPT3" s="994"/>
      <c r="WPU3" s="994"/>
      <c r="WPV3" s="994"/>
      <c r="WPW3" s="994"/>
      <c r="WPX3" s="994"/>
      <c r="WPY3" s="994"/>
      <c r="WPZ3" s="994"/>
      <c r="WQA3" s="994"/>
      <c r="WQB3" s="994"/>
      <c r="WQC3" s="994"/>
      <c r="WQD3" s="994"/>
      <c r="WQE3" s="994"/>
      <c r="WQF3" s="994"/>
      <c r="WQG3" s="994"/>
      <c r="WQH3" s="994"/>
      <c r="WQI3" s="994"/>
      <c r="WQJ3" s="994"/>
      <c r="WQK3" s="994"/>
      <c r="WQL3" s="994"/>
      <c r="WQM3" s="994"/>
      <c r="WQN3" s="994"/>
      <c r="WQO3" s="994"/>
      <c r="WQP3" s="994"/>
      <c r="WQQ3" s="994"/>
      <c r="WQR3" s="994"/>
      <c r="WQS3" s="994"/>
      <c r="WQT3" s="994"/>
      <c r="WQU3" s="994"/>
      <c r="WQV3" s="994"/>
      <c r="WQW3" s="994"/>
      <c r="WQX3" s="994"/>
      <c r="WQY3" s="994"/>
      <c r="WQZ3" s="994"/>
      <c r="WRA3" s="994"/>
      <c r="WRB3" s="994"/>
      <c r="WRC3" s="994"/>
      <c r="WRD3" s="994"/>
      <c r="WRE3" s="994"/>
      <c r="WRF3" s="994"/>
      <c r="WRG3" s="994"/>
      <c r="WRH3" s="994"/>
      <c r="WRI3" s="994"/>
      <c r="WRJ3" s="994"/>
      <c r="WRK3" s="994"/>
      <c r="WRL3" s="994"/>
      <c r="WRM3" s="994"/>
      <c r="WRN3" s="994"/>
      <c r="WRO3" s="994"/>
      <c r="WRP3" s="994"/>
      <c r="WRQ3" s="994"/>
      <c r="WRR3" s="994"/>
      <c r="WRS3" s="994"/>
      <c r="WRT3" s="994"/>
      <c r="WRU3" s="994"/>
      <c r="WRV3" s="994"/>
      <c r="WRW3" s="994"/>
      <c r="WRX3" s="994"/>
      <c r="WRY3" s="994"/>
      <c r="WRZ3" s="994"/>
      <c r="WSA3" s="994"/>
      <c r="WSB3" s="994"/>
      <c r="WSC3" s="994"/>
      <c r="WSD3" s="994"/>
      <c r="WSE3" s="994"/>
      <c r="WSF3" s="994"/>
      <c r="WSG3" s="994"/>
      <c r="WSH3" s="994"/>
      <c r="WSI3" s="994"/>
      <c r="WSJ3" s="994"/>
      <c r="WSK3" s="994"/>
      <c r="WSL3" s="994"/>
      <c r="WSM3" s="994"/>
      <c r="WSN3" s="994"/>
      <c r="WSO3" s="994"/>
      <c r="WSP3" s="994"/>
      <c r="WSQ3" s="994"/>
      <c r="WSR3" s="994"/>
      <c r="WSS3" s="994"/>
      <c r="WST3" s="994"/>
      <c r="WSU3" s="994"/>
      <c r="WSV3" s="994"/>
      <c r="WSW3" s="994"/>
      <c r="WSX3" s="994"/>
      <c r="WSY3" s="994"/>
      <c r="WSZ3" s="994"/>
      <c r="WTA3" s="994"/>
      <c r="WTB3" s="994"/>
      <c r="WTC3" s="994"/>
      <c r="WTD3" s="994"/>
      <c r="WTE3" s="994"/>
      <c r="WTF3" s="994"/>
      <c r="WTG3" s="994"/>
      <c r="WTH3" s="994"/>
      <c r="WTI3" s="994"/>
      <c r="WTJ3" s="994"/>
      <c r="WTK3" s="994"/>
      <c r="WTL3" s="994"/>
      <c r="WTM3" s="994"/>
      <c r="WTN3" s="994"/>
      <c r="WTO3" s="994"/>
      <c r="WTP3" s="994"/>
      <c r="WTQ3" s="994"/>
      <c r="WTR3" s="994"/>
      <c r="WTS3" s="994"/>
      <c r="WTT3" s="994"/>
      <c r="WTU3" s="994"/>
      <c r="WTV3" s="994"/>
      <c r="WTW3" s="994"/>
      <c r="WTX3" s="994"/>
      <c r="WTY3" s="994"/>
      <c r="WTZ3" s="994"/>
      <c r="WUA3" s="994"/>
      <c r="WUB3" s="994"/>
      <c r="WUC3" s="994"/>
      <c r="WUD3" s="994"/>
      <c r="WUE3" s="994"/>
      <c r="WUF3" s="994"/>
      <c r="WUG3" s="994"/>
      <c r="WUH3" s="994"/>
      <c r="WUI3" s="994"/>
      <c r="WUJ3" s="994"/>
      <c r="WUK3" s="994"/>
      <c r="WUL3" s="994"/>
      <c r="WUM3" s="994"/>
      <c r="WUN3" s="994"/>
      <c r="WUO3" s="994"/>
      <c r="WUP3" s="994"/>
      <c r="WUQ3" s="994"/>
      <c r="WUR3" s="994"/>
      <c r="WUS3" s="994"/>
      <c r="WUT3" s="994"/>
      <c r="WUU3" s="994"/>
      <c r="WUV3" s="994"/>
      <c r="WUW3" s="994"/>
      <c r="WUX3" s="994"/>
      <c r="WUY3" s="994"/>
      <c r="WUZ3" s="994"/>
      <c r="WVA3" s="994"/>
      <c r="WVB3" s="994"/>
      <c r="WVC3" s="994"/>
      <c r="WVD3" s="994"/>
      <c r="WVE3" s="994"/>
      <c r="WVF3" s="994"/>
      <c r="WVG3" s="994"/>
      <c r="WVH3" s="994"/>
      <c r="WVI3" s="994"/>
      <c r="WVJ3" s="994"/>
      <c r="WVK3" s="994"/>
      <c r="WVL3" s="994"/>
      <c r="WVM3" s="994"/>
      <c r="WVN3" s="994"/>
      <c r="WVO3" s="994"/>
      <c r="WVP3" s="994"/>
      <c r="WVQ3" s="994"/>
      <c r="WVR3" s="994"/>
      <c r="WVS3" s="994"/>
      <c r="WVT3" s="994"/>
      <c r="WVU3" s="994"/>
      <c r="WVV3" s="994"/>
      <c r="WVW3" s="994"/>
      <c r="WVX3" s="994"/>
      <c r="WVY3" s="994"/>
      <c r="WVZ3" s="994"/>
      <c r="WWA3" s="994"/>
      <c r="WWB3" s="994"/>
      <c r="WWC3" s="994"/>
      <c r="WWD3" s="994"/>
      <c r="WWE3" s="994"/>
      <c r="WWF3" s="994"/>
      <c r="WWG3" s="994"/>
      <c r="WWH3" s="994"/>
      <c r="WWI3" s="994"/>
      <c r="WWJ3" s="994"/>
      <c r="WWK3" s="994"/>
      <c r="WWL3" s="994"/>
      <c r="WWM3" s="994"/>
      <c r="WWN3" s="994"/>
      <c r="WWO3" s="994"/>
      <c r="WWP3" s="994"/>
      <c r="WWQ3" s="994"/>
      <c r="WWR3" s="994"/>
      <c r="WWS3" s="994"/>
      <c r="WWT3" s="994"/>
      <c r="WWU3" s="994"/>
      <c r="WWV3" s="994"/>
      <c r="WWW3" s="994"/>
      <c r="WWX3" s="994"/>
      <c r="WWY3" s="994"/>
      <c r="WWZ3" s="994"/>
      <c r="WXA3" s="994"/>
      <c r="WXB3" s="994"/>
      <c r="WXC3" s="994"/>
      <c r="WXD3" s="994"/>
      <c r="WXE3" s="994"/>
      <c r="WXF3" s="994"/>
      <c r="WXG3" s="994"/>
      <c r="WXH3" s="994"/>
      <c r="WXI3" s="994"/>
      <c r="WXJ3" s="994"/>
      <c r="WXK3" s="994"/>
      <c r="WXL3" s="994"/>
      <c r="WXM3" s="994"/>
      <c r="WXN3" s="994"/>
      <c r="WXO3" s="994"/>
      <c r="WXP3" s="994"/>
      <c r="WXQ3" s="994"/>
      <c r="WXR3" s="994"/>
      <c r="WXS3" s="994"/>
      <c r="WXT3" s="994"/>
      <c r="WXU3" s="994"/>
      <c r="WXV3" s="994"/>
      <c r="WXW3" s="994"/>
      <c r="WXX3" s="994"/>
      <c r="WXY3" s="994"/>
      <c r="WXZ3" s="994"/>
      <c r="WYA3" s="994"/>
      <c r="WYB3" s="994"/>
      <c r="WYC3" s="994"/>
      <c r="WYD3" s="994"/>
      <c r="WYE3" s="994"/>
      <c r="WYF3" s="994"/>
      <c r="WYG3" s="994"/>
      <c r="WYH3" s="994"/>
      <c r="WYI3" s="994"/>
      <c r="WYJ3" s="994"/>
      <c r="WYK3" s="994"/>
      <c r="WYL3" s="994"/>
      <c r="WYM3" s="994"/>
      <c r="WYN3" s="994"/>
      <c r="WYO3" s="994"/>
      <c r="WYP3" s="994"/>
      <c r="WYQ3" s="994"/>
      <c r="WYR3" s="994"/>
      <c r="WYS3" s="994"/>
      <c r="WYT3" s="994"/>
      <c r="WYU3" s="994"/>
      <c r="WYV3" s="994"/>
      <c r="WYW3" s="994"/>
      <c r="WYX3" s="994"/>
      <c r="WYY3" s="994"/>
      <c r="WYZ3" s="994"/>
      <c r="WZA3" s="994"/>
      <c r="WZB3" s="994"/>
      <c r="WZC3" s="994"/>
      <c r="WZD3" s="994"/>
      <c r="WZE3" s="994"/>
      <c r="WZF3" s="994"/>
      <c r="WZG3" s="994"/>
      <c r="WZH3" s="994"/>
      <c r="WZI3" s="994"/>
      <c r="WZJ3" s="994"/>
      <c r="WZK3" s="994"/>
      <c r="WZL3" s="994"/>
      <c r="WZM3" s="994"/>
      <c r="WZN3" s="994"/>
      <c r="WZO3" s="994"/>
      <c r="WZP3" s="994"/>
      <c r="WZQ3" s="994"/>
      <c r="WZR3" s="994"/>
      <c r="WZS3" s="994"/>
      <c r="WZT3" s="994"/>
      <c r="WZU3" s="994"/>
      <c r="WZV3" s="994"/>
      <c r="WZW3" s="994"/>
      <c r="WZX3" s="994"/>
      <c r="WZY3" s="994"/>
      <c r="WZZ3" s="994"/>
      <c r="XAA3" s="994"/>
      <c r="XAB3" s="994"/>
      <c r="XAC3" s="994"/>
      <c r="XAD3" s="994"/>
      <c r="XAE3" s="994"/>
      <c r="XAF3" s="994"/>
      <c r="XAG3" s="994"/>
      <c r="XAH3" s="994"/>
      <c r="XAI3" s="994"/>
      <c r="XAJ3" s="994"/>
      <c r="XAK3" s="994"/>
      <c r="XAL3" s="994"/>
      <c r="XAM3" s="994"/>
      <c r="XAN3" s="994"/>
      <c r="XAO3" s="994"/>
      <c r="XAP3" s="994"/>
      <c r="XAQ3" s="994"/>
      <c r="XAR3" s="994"/>
      <c r="XAS3" s="994"/>
      <c r="XAT3" s="994"/>
      <c r="XAU3" s="994"/>
      <c r="XAV3" s="994"/>
      <c r="XAW3" s="994"/>
      <c r="XAX3" s="994"/>
      <c r="XAY3" s="994"/>
      <c r="XAZ3" s="994"/>
      <c r="XBA3" s="994"/>
      <c r="XBB3" s="994"/>
      <c r="XBC3" s="994"/>
      <c r="XBD3" s="994"/>
      <c r="XBE3" s="994"/>
      <c r="XBF3" s="994"/>
      <c r="XBG3" s="994"/>
      <c r="XBH3" s="994"/>
      <c r="XBI3" s="994"/>
      <c r="XBJ3" s="994"/>
      <c r="XBK3" s="994"/>
      <c r="XBL3" s="994"/>
      <c r="XBM3" s="994"/>
      <c r="XBN3" s="994"/>
      <c r="XBO3" s="994"/>
      <c r="XBP3" s="994"/>
      <c r="XBQ3" s="994"/>
      <c r="XBR3" s="994"/>
      <c r="XBS3" s="994"/>
      <c r="XBT3" s="994"/>
      <c r="XBU3" s="994"/>
      <c r="XBV3" s="994"/>
      <c r="XBW3" s="994"/>
      <c r="XBX3" s="994"/>
      <c r="XBY3" s="994"/>
      <c r="XBZ3" s="994"/>
      <c r="XCA3" s="994"/>
      <c r="XCB3" s="994"/>
      <c r="XCC3" s="994"/>
      <c r="XCD3" s="994"/>
      <c r="XCE3" s="994"/>
      <c r="XCF3" s="994"/>
      <c r="XCG3" s="994"/>
      <c r="XCH3" s="994"/>
      <c r="XCI3" s="994"/>
      <c r="XCJ3" s="994"/>
      <c r="XCK3" s="994"/>
      <c r="XCL3" s="994"/>
      <c r="XCM3" s="994"/>
      <c r="XCN3" s="994"/>
      <c r="XCO3" s="994"/>
      <c r="XCP3" s="994"/>
      <c r="XCQ3" s="994"/>
      <c r="XCR3" s="994"/>
      <c r="XCS3" s="994"/>
      <c r="XCT3" s="994"/>
      <c r="XCU3" s="994"/>
      <c r="XCV3" s="994"/>
      <c r="XCW3" s="994"/>
      <c r="XCX3" s="994"/>
      <c r="XCY3" s="994"/>
      <c r="XCZ3" s="994"/>
      <c r="XDA3" s="994"/>
      <c r="XDB3" s="994"/>
      <c r="XDC3" s="994"/>
      <c r="XDD3" s="994"/>
      <c r="XDE3" s="994"/>
      <c r="XDF3" s="994"/>
      <c r="XDG3" s="994"/>
      <c r="XDH3" s="994"/>
      <c r="XDI3" s="994"/>
      <c r="XDJ3" s="994"/>
      <c r="XDK3" s="994"/>
      <c r="XDL3" s="994"/>
      <c r="XDM3" s="994"/>
      <c r="XDN3" s="994"/>
      <c r="XDO3" s="994"/>
      <c r="XDP3" s="994"/>
      <c r="XDQ3" s="994"/>
      <c r="XDR3" s="994"/>
      <c r="XDS3" s="994"/>
      <c r="XDT3" s="994"/>
      <c r="XDU3" s="994"/>
      <c r="XDV3" s="994"/>
      <c r="XDW3" s="994"/>
      <c r="XDX3" s="994"/>
      <c r="XDY3" s="994"/>
      <c r="XDZ3" s="994"/>
      <c r="XEA3" s="994"/>
      <c r="XEB3" s="994"/>
      <c r="XEC3" s="994"/>
      <c r="XED3" s="994"/>
      <c r="XEE3" s="994"/>
      <c r="XEF3" s="994"/>
      <c r="XEG3" s="994"/>
      <c r="XEH3" s="994"/>
      <c r="XEI3" s="994"/>
      <c r="XEJ3" s="994"/>
      <c r="XEK3" s="994"/>
      <c r="XEL3" s="994"/>
      <c r="XEM3" s="994"/>
      <c r="XEN3" s="994"/>
      <c r="XEO3" s="994"/>
      <c r="XEP3" s="994"/>
      <c r="XEQ3" s="994"/>
      <c r="XER3" s="994"/>
      <c r="XES3" s="994"/>
      <c r="XET3" s="994"/>
      <c r="XEU3" s="994"/>
      <c r="XEV3" s="994"/>
      <c r="XEW3" s="994"/>
      <c r="XEX3" s="994"/>
      <c r="XEY3" s="994"/>
      <c r="XEZ3" s="994"/>
      <c r="XFA3" s="994"/>
      <c r="XFB3" s="994"/>
    </row>
    <row r="4" spans="1:16382">
      <c r="A4" s="425" t="s">
        <v>113</v>
      </c>
    </row>
    <row r="5" spans="1:16382" ht="12" hidden="1" customHeight="1">
      <c r="B5" s="232">
        <v>44286</v>
      </c>
      <c r="C5" s="232">
        <v>44196</v>
      </c>
    </row>
    <row r="6" spans="1:16382" ht="12" hidden="1" customHeight="1">
      <c r="A6" s="278" t="s">
        <v>547</v>
      </c>
    </row>
    <row r="7" spans="1:16382" ht="12" hidden="1" customHeight="1">
      <c r="A7" s="267" t="s">
        <v>548</v>
      </c>
    </row>
    <row r="8" spans="1:16382" ht="12" hidden="1" customHeight="1">
      <c r="A8" s="276" t="s">
        <v>166</v>
      </c>
      <c r="B8" s="894">
        <v>0</v>
      </c>
      <c r="C8" s="894">
        <v>0</v>
      </c>
      <c r="D8" s="279"/>
    </row>
    <row r="9" spans="1:16382" ht="12" hidden="1" customHeight="1"/>
    <row r="10" spans="1:16382" ht="12" hidden="1" customHeight="1">
      <c r="A10" s="276" t="s">
        <v>35</v>
      </c>
    </row>
    <row r="11" spans="1:16382" ht="12" hidden="1" customHeight="1">
      <c r="A11" s="267" t="s">
        <v>549</v>
      </c>
      <c r="B11" s="279"/>
      <c r="C11" s="279"/>
    </row>
    <row r="12" spans="1:16382" ht="12" hidden="1" customHeight="1">
      <c r="A12" s="276" t="s">
        <v>166</v>
      </c>
      <c r="B12" s="894">
        <v>0</v>
      </c>
      <c r="C12" s="894">
        <v>0</v>
      </c>
    </row>
    <row r="13" spans="1:16382" ht="12" customHeight="1">
      <c r="A13" s="620"/>
    </row>
    <row r="14" spans="1:16382" ht="12" customHeight="1">
      <c r="A14" s="635" t="s">
        <v>550</v>
      </c>
    </row>
    <row r="15" spans="1:16382" ht="14.25" customHeight="1">
      <c r="A15" s="635" t="s">
        <v>551</v>
      </c>
      <c r="B15" s="232">
        <v>44834</v>
      </c>
      <c r="C15" s="232">
        <v>44561</v>
      </c>
    </row>
    <row r="16" spans="1:16382" ht="12" customHeight="1">
      <c r="A16" s="807" t="s">
        <v>552</v>
      </c>
      <c r="B16" s="447">
        <v>15377402.749983527</v>
      </c>
      <c r="C16" s="447">
        <v>15377402.749983527</v>
      </c>
      <c r="N16" s="472"/>
    </row>
    <row r="17" spans="1:14" ht="12" customHeight="1">
      <c r="A17" s="807" t="s">
        <v>553</v>
      </c>
      <c r="B17" s="447">
        <v>69041421.80843164</v>
      </c>
      <c r="C17" s="447">
        <v>69041421.80843164</v>
      </c>
      <c r="N17" s="472"/>
    </row>
    <row r="18" spans="1:14" ht="12" customHeight="1">
      <c r="A18" s="807" t="s">
        <v>554</v>
      </c>
      <c r="B18" s="447">
        <v>63287970.3803792</v>
      </c>
      <c r="C18" s="447">
        <v>63287970.38037923</v>
      </c>
      <c r="N18" s="472"/>
    </row>
    <row r="19" spans="1:14" ht="12" customHeight="1">
      <c r="A19" s="807" t="s">
        <v>555</v>
      </c>
      <c r="B19" s="447">
        <v>274583346.16981202</v>
      </c>
      <c r="C19" s="447">
        <v>274583346.16981202</v>
      </c>
      <c r="N19" s="472"/>
    </row>
    <row r="20" spans="1:14" ht="12" customHeight="1">
      <c r="A20" s="807" t="s">
        <v>556</v>
      </c>
      <c r="B20" s="447">
        <v>111608903.909339</v>
      </c>
      <c r="C20" s="447">
        <v>111608903.909339</v>
      </c>
      <c r="N20" s="472"/>
    </row>
    <row r="21" spans="1:14" ht="12" customHeight="1">
      <c r="A21" s="807" t="s">
        <v>557</v>
      </c>
      <c r="B21" s="447">
        <v>60075415.822098978</v>
      </c>
      <c r="C21" s="447">
        <v>60075415.822098978</v>
      </c>
      <c r="N21" s="472"/>
    </row>
    <row r="22" spans="1:14" ht="12" customHeight="1">
      <c r="A22" s="807" t="s">
        <v>558</v>
      </c>
      <c r="B22" s="447">
        <f>598643522+705966875</f>
        <v>1304610397</v>
      </c>
      <c r="C22" s="447">
        <v>1304610397</v>
      </c>
      <c r="N22" s="472"/>
    </row>
    <row r="23" spans="1:14" ht="12" customHeight="1">
      <c r="A23" s="807" t="s">
        <v>559</v>
      </c>
      <c r="B23" s="447">
        <v>105688017.98246279</v>
      </c>
      <c r="C23" s="447">
        <v>105688017.98246279</v>
      </c>
      <c r="N23" s="472"/>
    </row>
    <row r="24" spans="1:14" ht="12" customHeight="1">
      <c r="A24" s="807" t="s">
        <v>560</v>
      </c>
      <c r="B24" s="447">
        <f>3369682163+2409465633</f>
        <v>5779147796</v>
      </c>
      <c r="C24" s="447">
        <v>5779147796</v>
      </c>
      <c r="N24" s="472"/>
    </row>
    <row r="25" spans="1:14" ht="12" customHeight="1">
      <c r="A25" s="807" t="s">
        <v>561</v>
      </c>
      <c r="B25" s="447">
        <v>1027199682.5571936</v>
      </c>
      <c r="C25" s="447">
        <v>1027199682.5571936</v>
      </c>
      <c r="N25" s="472"/>
    </row>
    <row r="26" spans="1:14" ht="12" customHeight="1">
      <c r="A26" s="807" t="s">
        <v>562</v>
      </c>
      <c r="B26" s="447">
        <v>1585648257</v>
      </c>
      <c r="C26" s="447">
        <v>1585648257</v>
      </c>
      <c r="N26" s="472"/>
    </row>
    <row r="27" spans="1:14" ht="12" customHeight="1">
      <c r="A27" s="807" t="s">
        <v>563</v>
      </c>
      <c r="B27" s="447">
        <f>752438845+1632383635</f>
        <v>2384822480</v>
      </c>
      <c r="C27" s="447">
        <v>2384822480</v>
      </c>
      <c r="N27" s="472"/>
    </row>
    <row r="28" spans="1:14" ht="12" customHeight="1">
      <c r="A28" s="807" t="s">
        <v>564</v>
      </c>
      <c r="B28" s="447">
        <f>137925115+886639840</f>
        <v>1024564955</v>
      </c>
      <c r="C28" s="447">
        <v>1024564955</v>
      </c>
      <c r="N28" s="472"/>
    </row>
    <row r="29" spans="1:14" ht="12" customHeight="1">
      <c r="A29" s="807" t="s">
        <v>565</v>
      </c>
      <c r="B29" s="447">
        <f>125290755+805424132</f>
        <v>930714887</v>
      </c>
      <c r="C29" s="447">
        <v>930714887</v>
      </c>
      <c r="N29" s="472"/>
    </row>
    <row r="30" spans="1:14" ht="12" customHeight="1">
      <c r="A30" s="807" t="s">
        <v>566</v>
      </c>
      <c r="B30" s="447">
        <f>234891612+1468708737</f>
        <v>1703600349</v>
      </c>
      <c r="C30" s="447">
        <v>1703600349</v>
      </c>
      <c r="N30" s="472"/>
    </row>
    <row r="31" spans="1:14" ht="12" customHeight="1">
      <c r="A31" s="807" t="s">
        <v>567</v>
      </c>
      <c r="B31" s="447">
        <f>35224244+685284614</f>
        <v>720508858</v>
      </c>
      <c r="C31" s="447">
        <v>720508858</v>
      </c>
      <c r="N31" s="472"/>
    </row>
    <row r="32" spans="1:14" ht="12" customHeight="1">
      <c r="A32" s="807" t="s">
        <v>568</v>
      </c>
      <c r="B32" s="447">
        <f>166708121+1042377113</f>
        <v>1209085234</v>
      </c>
      <c r="C32" s="447">
        <v>1209085234</v>
      </c>
      <c r="N32" s="472"/>
    </row>
    <row r="33" spans="1:15" ht="12" customHeight="1">
      <c r="A33" s="807" t="s">
        <v>569</v>
      </c>
      <c r="B33" s="447">
        <f>478693068+994931729</f>
        <v>1473624797</v>
      </c>
      <c r="C33" s="447">
        <v>1473624797</v>
      </c>
      <c r="N33" s="472"/>
    </row>
    <row r="34" spans="1:15" ht="12" customHeight="1">
      <c r="A34" s="807" t="s">
        <v>570</v>
      </c>
      <c r="B34" s="447">
        <f>169092282+647372954</f>
        <v>816465236</v>
      </c>
      <c r="C34" s="447">
        <v>816465236</v>
      </c>
      <c r="N34" s="472"/>
    </row>
    <row r="35" spans="1:15" ht="12" customHeight="1">
      <c r="A35" s="807" t="s">
        <v>571</v>
      </c>
      <c r="B35" s="447">
        <v>0</v>
      </c>
      <c r="C35" s="447">
        <v>857694549</v>
      </c>
      <c r="N35" s="472"/>
    </row>
    <row r="36" spans="1:15" ht="12" customHeight="1">
      <c r="A36" s="807" t="s">
        <v>572</v>
      </c>
      <c r="B36" s="447">
        <v>0</v>
      </c>
      <c r="C36" s="447">
        <v>404941204.2168771</v>
      </c>
      <c r="N36" s="472"/>
    </row>
    <row r="37" spans="1:15" ht="12" customHeight="1">
      <c r="A37" s="807" t="s">
        <v>573</v>
      </c>
      <c r="B37" s="447">
        <v>2883271535.6771421</v>
      </c>
      <c r="C37" s="447">
        <v>2883271535.6771421</v>
      </c>
      <c r="N37" s="472"/>
    </row>
    <row r="38" spans="1:15" ht="12" customHeight="1">
      <c r="A38" s="807" t="s">
        <v>574</v>
      </c>
      <c r="B38" s="447">
        <v>4565216.2876381725</v>
      </c>
      <c r="C38" s="447">
        <v>4565216.2876381725</v>
      </c>
      <c r="N38" s="472"/>
    </row>
    <row r="39" spans="1:15" ht="12" customHeight="1">
      <c r="A39" s="807" t="s">
        <v>575</v>
      </c>
      <c r="B39" s="447">
        <v>8410059.3150466979</v>
      </c>
      <c r="C39" s="447">
        <v>8410059.3150466979</v>
      </c>
      <c r="N39" s="472"/>
    </row>
    <row r="40" spans="1:15" ht="12" customHeight="1">
      <c r="A40" s="807" t="s">
        <v>576</v>
      </c>
      <c r="B40" s="447">
        <f>4136759404+2260092578+1537866771+2988683572</f>
        <v>10923402325</v>
      </c>
      <c r="C40" s="447">
        <v>10923402325</v>
      </c>
      <c r="N40" s="472"/>
      <c r="O40" s="472"/>
    </row>
    <row r="41" spans="1:15" ht="12" customHeight="1">
      <c r="A41" s="807" t="s">
        <v>577</v>
      </c>
      <c r="B41" s="447">
        <v>0</v>
      </c>
      <c r="C41" s="447">
        <v>39914730.340699032</v>
      </c>
      <c r="N41" s="472"/>
    </row>
    <row r="42" spans="1:15" ht="12" customHeight="1">
      <c r="A42" s="807" t="s">
        <v>578</v>
      </c>
      <c r="B42" s="447">
        <v>29641834.654051524</v>
      </c>
      <c r="C42" s="447">
        <v>29641834.654051524</v>
      </c>
      <c r="N42" s="472"/>
    </row>
    <row r="43" spans="1:15" ht="12" customHeight="1">
      <c r="A43" s="807" t="s">
        <v>579</v>
      </c>
      <c r="B43" s="447">
        <v>101215081.27397078</v>
      </c>
      <c r="C43" s="447">
        <v>101215081.27397078</v>
      </c>
      <c r="N43" s="472"/>
    </row>
    <row r="44" spans="1:15" ht="12" customHeight="1">
      <c r="A44" s="807" t="s">
        <v>580</v>
      </c>
      <c r="B44" s="447">
        <f>1211654638+19524206</f>
        <v>1231178844</v>
      </c>
      <c r="C44" s="447">
        <v>1231178844</v>
      </c>
      <c r="N44" s="472"/>
    </row>
    <row r="45" spans="1:15" ht="12" customHeight="1">
      <c r="A45" s="807" t="s">
        <v>581</v>
      </c>
      <c r="B45" s="447">
        <f>170958982.99+191996659+1184414413</f>
        <v>1547370054.99</v>
      </c>
      <c r="C45" s="447">
        <v>1547370053.99</v>
      </c>
      <c r="N45" s="472"/>
    </row>
    <row r="46" spans="1:15" ht="12" customHeight="1">
      <c r="A46" s="807" t="s">
        <v>582</v>
      </c>
      <c r="B46" s="447">
        <v>603590668</v>
      </c>
      <c r="C46" s="447">
        <v>603590668</v>
      </c>
      <c r="N46" s="472"/>
    </row>
    <row r="47" spans="1:15" ht="12" customHeight="1">
      <c r="A47" s="807" t="s">
        <v>583</v>
      </c>
      <c r="B47" s="447">
        <v>125000000</v>
      </c>
      <c r="C47" s="447">
        <v>125000000</v>
      </c>
      <c r="N47" s="472"/>
    </row>
    <row r="48" spans="1:15" ht="12" customHeight="1">
      <c r="A48" s="807" t="s">
        <v>584</v>
      </c>
      <c r="B48" s="447">
        <v>28767259.476163421</v>
      </c>
      <c r="C48" s="447">
        <v>28767259.476163421</v>
      </c>
      <c r="N48" s="472"/>
    </row>
    <row r="49" spans="1:14" ht="12" customHeight="1">
      <c r="A49" s="807" t="s">
        <v>585</v>
      </c>
      <c r="B49" s="447">
        <v>185685128.40487385</v>
      </c>
      <c r="C49" s="447">
        <v>185685128.40487385</v>
      </c>
      <c r="N49" s="472"/>
    </row>
    <row r="50" spans="1:14" ht="12" customHeight="1">
      <c r="A50" s="807" t="s">
        <v>586</v>
      </c>
      <c r="B50" s="447">
        <v>8922678.8247905821</v>
      </c>
      <c r="C50" s="447">
        <v>8922678.8247905821</v>
      </c>
      <c r="N50" s="472"/>
    </row>
    <row r="51" spans="1:14" ht="12" customHeight="1">
      <c r="A51" s="807" t="s">
        <v>587</v>
      </c>
      <c r="B51" s="447">
        <f>502727273+133636364+15461233</f>
        <v>651824870</v>
      </c>
      <c r="C51" s="447">
        <v>651824870</v>
      </c>
      <c r="N51" s="472"/>
    </row>
    <row r="52" spans="1:14" ht="12" customHeight="1">
      <c r="A52" s="807" t="s">
        <v>588</v>
      </c>
      <c r="B52" s="447">
        <v>144329029.09405553</v>
      </c>
      <c r="C52" s="447">
        <v>144329029.09405553</v>
      </c>
      <c r="N52" s="472"/>
    </row>
    <row r="53" spans="1:14" ht="12" customHeight="1">
      <c r="A53" s="807" t="s">
        <v>589</v>
      </c>
      <c r="B53" s="447">
        <v>329004765.90225798</v>
      </c>
      <c r="C53" s="447">
        <v>329004765.90225798</v>
      </c>
      <c r="N53" s="472"/>
    </row>
    <row r="54" spans="1:14" ht="12" customHeight="1">
      <c r="A54" s="807" t="s">
        <v>590</v>
      </c>
      <c r="B54" s="447">
        <v>305214086.99434561</v>
      </c>
      <c r="C54" s="447">
        <v>305214086.99434561</v>
      </c>
      <c r="N54" s="472"/>
    </row>
    <row r="55" spans="1:14" ht="12" customHeight="1">
      <c r="A55" s="807" t="s">
        <v>591</v>
      </c>
      <c r="B55" s="447">
        <v>48433169.020790301</v>
      </c>
      <c r="C55" s="447">
        <v>48433169.020790301</v>
      </c>
      <c r="N55" s="472"/>
    </row>
    <row r="56" spans="1:14" ht="12" customHeight="1">
      <c r="A56" s="807" t="s">
        <v>592</v>
      </c>
      <c r="B56" s="447">
        <v>167947.48284493003</v>
      </c>
      <c r="C56" s="447">
        <v>167947.48284493003</v>
      </c>
      <c r="N56" s="472"/>
    </row>
    <row r="57" spans="1:14" ht="12" customHeight="1">
      <c r="A57" s="807" t="s">
        <v>593</v>
      </c>
      <c r="B57" s="447">
        <v>31483792.106998</v>
      </c>
      <c r="C57" s="447">
        <v>31483792.106998</v>
      </c>
      <c r="N57" s="472"/>
    </row>
    <row r="58" spans="1:14" ht="12" customHeight="1">
      <c r="A58" s="807" t="s">
        <v>594</v>
      </c>
      <c r="B58" s="447">
        <v>0</v>
      </c>
      <c r="C58" s="447">
        <v>151171716.23544815</v>
      </c>
      <c r="N58" s="472"/>
    </row>
    <row r="59" spans="1:14" ht="12" customHeight="1">
      <c r="A59" s="807" t="s">
        <v>595</v>
      </c>
      <c r="B59" s="447">
        <f>2499623407+1484255029+118245457+73733969</f>
        <v>4175857862</v>
      </c>
      <c r="C59" s="447">
        <v>4175857862</v>
      </c>
      <c r="N59" s="472"/>
    </row>
    <row r="60" spans="1:14" ht="12" customHeight="1">
      <c r="A60" s="807" t="s">
        <v>596</v>
      </c>
      <c r="B60" s="447">
        <v>10000000</v>
      </c>
      <c r="C60" s="447">
        <v>10000000</v>
      </c>
      <c r="N60" s="472"/>
    </row>
    <row r="61" spans="1:14" ht="12" customHeight="1">
      <c r="A61" s="807" t="s">
        <v>597</v>
      </c>
      <c r="B61" s="447">
        <f>16873259+3354605</f>
        <v>20227864</v>
      </c>
      <c r="C61" s="447">
        <v>20227864</v>
      </c>
      <c r="N61" s="472"/>
    </row>
    <row r="62" spans="1:14" ht="12" customHeight="1">
      <c r="A62" s="936" t="s">
        <v>1417</v>
      </c>
      <c r="B62" s="447">
        <v>1250173951</v>
      </c>
      <c r="C62" s="447">
        <v>1250173951</v>
      </c>
      <c r="N62" s="472"/>
    </row>
    <row r="63" spans="1:14" ht="12" customHeight="1">
      <c r="A63" s="936" t="s">
        <v>1418</v>
      </c>
      <c r="B63" s="447">
        <v>4538035534</v>
      </c>
      <c r="C63" s="447">
        <v>0</v>
      </c>
      <c r="N63" s="472"/>
    </row>
    <row r="64" spans="1:14" ht="12" customHeight="1">
      <c r="A64" s="936" t="s">
        <v>1416</v>
      </c>
      <c r="B64" s="447">
        <v>123713636</v>
      </c>
      <c r="C64" s="447">
        <v>0</v>
      </c>
      <c r="N64" s="472"/>
    </row>
    <row r="65" spans="1:14" ht="12" customHeight="1">
      <c r="A65" s="936" t="s">
        <v>1419</v>
      </c>
      <c r="B65" s="447">
        <v>60000000</v>
      </c>
      <c r="C65" s="447">
        <v>0</v>
      </c>
      <c r="N65" s="472"/>
    </row>
    <row r="66" spans="1:14" ht="12" customHeight="1">
      <c r="A66" s="936" t="s">
        <v>1420</v>
      </c>
      <c r="B66" s="447">
        <v>147200000</v>
      </c>
      <c r="C66" s="447">
        <v>0</v>
      </c>
      <c r="N66" s="472"/>
    </row>
    <row r="67" spans="1:14" ht="12" customHeight="1">
      <c r="A67" s="807" t="s">
        <v>1425</v>
      </c>
      <c r="B67" s="447">
        <v>0</v>
      </c>
      <c r="C67" s="447">
        <v>3856660790</v>
      </c>
      <c r="N67" s="472"/>
    </row>
    <row r="68" spans="1:14" s="6" customFormat="1" ht="12.75" thickBot="1">
      <c r="A68" s="111" t="s">
        <v>598</v>
      </c>
      <c r="B68" s="895">
        <f>SUM(B16:B67)</f>
        <v>50176342600.884674</v>
      </c>
      <c r="C68" s="895">
        <f>SUM(C16:C67)</f>
        <v>50617776419.677696</v>
      </c>
    </row>
    <row r="69" spans="1:14" ht="15.75" thickTop="1">
      <c r="B69" s="269"/>
      <c r="C69" s="538"/>
    </row>
    <row r="70" spans="1:14">
      <c r="B70" s="715"/>
    </row>
    <row r="71" spans="1:14">
      <c r="B71" s="715"/>
    </row>
    <row r="72" spans="1:14">
      <c r="B72" s="715"/>
    </row>
    <row r="73" spans="1:14">
      <c r="B73" s="715"/>
    </row>
  </sheetData>
  <mergeCells count="2730">
    <mergeCell ref="WVG3:WVL3"/>
    <mergeCell ref="WVM3:WVR3"/>
    <mergeCell ref="WVS3:WVX3"/>
    <mergeCell ref="WVY3:WWD3"/>
    <mergeCell ref="WWE3:WWJ3"/>
    <mergeCell ref="WWK3:WWP3"/>
    <mergeCell ref="WTW3:WUB3"/>
    <mergeCell ref="WUC3:WUH3"/>
    <mergeCell ref="WUI3:WUN3"/>
    <mergeCell ref="WUO3:WUT3"/>
    <mergeCell ref="WUU3:WUZ3"/>
    <mergeCell ref="WVA3:WVF3"/>
    <mergeCell ref="XEY3:XFB3"/>
    <mergeCell ref="XDO3:XDT3"/>
    <mergeCell ref="XDU3:XDZ3"/>
    <mergeCell ref="XEA3:XEF3"/>
    <mergeCell ref="XEG3:XEL3"/>
    <mergeCell ref="XEM3:XER3"/>
    <mergeCell ref="XES3:XEX3"/>
    <mergeCell ref="XCE3:XCJ3"/>
    <mergeCell ref="XCK3:XCP3"/>
    <mergeCell ref="XCQ3:XCV3"/>
    <mergeCell ref="XCW3:XDB3"/>
    <mergeCell ref="XDC3:XDH3"/>
    <mergeCell ref="XDI3:XDN3"/>
    <mergeCell ref="XAU3:XAZ3"/>
    <mergeCell ref="XBA3:XBF3"/>
    <mergeCell ref="XBG3:XBL3"/>
    <mergeCell ref="XBM3:XBR3"/>
    <mergeCell ref="XBS3:XBX3"/>
    <mergeCell ref="XBY3:XCD3"/>
    <mergeCell ref="WZK3:WZP3"/>
    <mergeCell ref="WZQ3:WZV3"/>
    <mergeCell ref="WZW3:XAB3"/>
    <mergeCell ref="XAC3:XAH3"/>
    <mergeCell ref="XAI3:XAN3"/>
    <mergeCell ref="XAO3:XAT3"/>
    <mergeCell ref="WYA3:WYF3"/>
    <mergeCell ref="WYG3:WYL3"/>
    <mergeCell ref="WYM3:WYR3"/>
    <mergeCell ref="WYS3:WYX3"/>
    <mergeCell ref="WYY3:WZD3"/>
    <mergeCell ref="WZE3:WZJ3"/>
    <mergeCell ref="WWQ3:WWV3"/>
    <mergeCell ref="WWW3:WXB3"/>
    <mergeCell ref="WXC3:WXH3"/>
    <mergeCell ref="WXI3:WXN3"/>
    <mergeCell ref="WXO3:WXT3"/>
    <mergeCell ref="WXU3:WXZ3"/>
    <mergeCell ref="WSM3:WSR3"/>
    <mergeCell ref="WSS3:WSX3"/>
    <mergeCell ref="WSY3:WTD3"/>
    <mergeCell ref="WTE3:WTJ3"/>
    <mergeCell ref="WTK3:WTP3"/>
    <mergeCell ref="WTQ3:WTV3"/>
    <mergeCell ref="WRC3:WRH3"/>
    <mergeCell ref="WRI3:WRN3"/>
    <mergeCell ref="WRO3:WRT3"/>
    <mergeCell ref="WRU3:WRZ3"/>
    <mergeCell ref="WSA3:WSF3"/>
    <mergeCell ref="WSG3:WSL3"/>
    <mergeCell ref="WPS3:WPX3"/>
    <mergeCell ref="WPY3:WQD3"/>
    <mergeCell ref="WQE3:WQJ3"/>
    <mergeCell ref="WQK3:WQP3"/>
    <mergeCell ref="WQQ3:WQV3"/>
    <mergeCell ref="WQW3:WRB3"/>
    <mergeCell ref="WOI3:WON3"/>
    <mergeCell ref="WOO3:WOT3"/>
    <mergeCell ref="WOU3:WOZ3"/>
    <mergeCell ref="WPA3:WPF3"/>
    <mergeCell ref="WPG3:WPL3"/>
    <mergeCell ref="WPM3:WPR3"/>
    <mergeCell ref="WMY3:WND3"/>
    <mergeCell ref="WNE3:WNJ3"/>
    <mergeCell ref="WNK3:WNP3"/>
    <mergeCell ref="WNQ3:WNV3"/>
    <mergeCell ref="WNW3:WOB3"/>
    <mergeCell ref="WOC3:WOH3"/>
    <mergeCell ref="WLO3:WLT3"/>
    <mergeCell ref="WLU3:WLZ3"/>
    <mergeCell ref="WMA3:WMF3"/>
    <mergeCell ref="WMG3:WML3"/>
    <mergeCell ref="WMM3:WMR3"/>
    <mergeCell ref="WMS3:WMX3"/>
    <mergeCell ref="WKE3:WKJ3"/>
    <mergeCell ref="WKK3:WKP3"/>
    <mergeCell ref="WKQ3:WKV3"/>
    <mergeCell ref="WKW3:WLB3"/>
    <mergeCell ref="WLC3:WLH3"/>
    <mergeCell ref="WLI3:WLN3"/>
    <mergeCell ref="WIU3:WIZ3"/>
    <mergeCell ref="WJA3:WJF3"/>
    <mergeCell ref="WJG3:WJL3"/>
    <mergeCell ref="WJM3:WJR3"/>
    <mergeCell ref="WJS3:WJX3"/>
    <mergeCell ref="WJY3:WKD3"/>
    <mergeCell ref="WHK3:WHP3"/>
    <mergeCell ref="WHQ3:WHV3"/>
    <mergeCell ref="WHW3:WIB3"/>
    <mergeCell ref="WIC3:WIH3"/>
    <mergeCell ref="WII3:WIN3"/>
    <mergeCell ref="WIO3:WIT3"/>
    <mergeCell ref="WGA3:WGF3"/>
    <mergeCell ref="WGG3:WGL3"/>
    <mergeCell ref="WGM3:WGR3"/>
    <mergeCell ref="WGS3:WGX3"/>
    <mergeCell ref="WGY3:WHD3"/>
    <mergeCell ref="WHE3:WHJ3"/>
    <mergeCell ref="WEQ3:WEV3"/>
    <mergeCell ref="WEW3:WFB3"/>
    <mergeCell ref="WFC3:WFH3"/>
    <mergeCell ref="WFI3:WFN3"/>
    <mergeCell ref="WFO3:WFT3"/>
    <mergeCell ref="WFU3:WFZ3"/>
    <mergeCell ref="WDG3:WDL3"/>
    <mergeCell ref="WDM3:WDR3"/>
    <mergeCell ref="WDS3:WDX3"/>
    <mergeCell ref="WDY3:WED3"/>
    <mergeCell ref="WEE3:WEJ3"/>
    <mergeCell ref="WEK3:WEP3"/>
    <mergeCell ref="WBW3:WCB3"/>
    <mergeCell ref="WCC3:WCH3"/>
    <mergeCell ref="WCI3:WCN3"/>
    <mergeCell ref="WCO3:WCT3"/>
    <mergeCell ref="WCU3:WCZ3"/>
    <mergeCell ref="WDA3:WDF3"/>
    <mergeCell ref="WAM3:WAR3"/>
    <mergeCell ref="WAS3:WAX3"/>
    <mergeCell ref="WAY3:WBD3"/>
    <mergeCell ref="WBE3:WBJ3"/>
    <mergeCell ref="WBK3:WBP3"/>
    <mergeCell ref="WBQ3:WBV3"/>
    <mergeCell ref="VZC3:VZH3"/>
    <mergeCell ref="VZI3:VZN3"/>
    <mergeCell ref="VZO3:VZT3"/>
    <mergeCell ref="VZU3:VZZ3"/>
    <mergeCell ref="WAA3:WAF3"/>
    <mergeCell ref="WAG3:WAL3"/>
    <mergeCell ref="VXS3:VXX3"/>
    <mergeCell ref="VXY3:VYD3"/>
    <mergeCell ref="VYE3:VYJ3"/>
    <mergeCell ref="VYK3:VYP3"/>
    <mergeCell ref="VYQ3:VYV3"/>
    <mergeCell ref="VYW3:VZB3"/>
    <mergeCell ref="VWI3:VWN3"/>
    <mergeCell ref="VWO3:VWT3"/>
    <mergeCell ref="VWU3:VWZ3"/>
    <mergeCell ref="VXA3:VXF3"/>
    <mergeCell ref="VXG3:VXL3"/>
    <mergeCell ref="VXM3:VXR3"/>
    <mergeCell ref="VUY3:VVD3"/>
    <mergeCell ref="VVE3:VVJ3"/>
    <mergeCell ref="VVK3:VVP3"/>
    <mergeCell ref="VVQ3:VVV3"/>
    <mergeCell ref="VVW3:VWB3"/>
    <mergeCell ref="VWC3:VWH3"/>
    <mergeCell ref="VTO3:VTT3"/>
    <mergeCell ref="VTU3:VTZ3"/>
    <mergeCell ref="VUA3:VUF3"/>
    <mergeCell ref="VUG3:VUL3"/>
    <mergeCell ref="VUM3:VUR3"/>
    <mergeCell ref="VUS3:VUX3"/>
    <mergeCell ref="VSE3:VSJ3"/>
    <mergeCell ref="VSK3:VSP3"/>
    <mergeCell ref="VSQ3:VSV3"/>
    <mergeCell ref="VSW3:VTB3"/>
    <mergeCell ref="VTC3:VTH3"/>
    <mergeCell ref="VTI3:VTN3"/>
    <mergeCell ref="VQU3:VQZ3"/>
    <mergeCell ref="VRA3:VRF3"/>
    <mergeCell ref="VRG3:VRL3"/>
    <mergeCell ref="VRM3:VRR3"/>
    <mergeCell ref="VRS3:VRX3"/>
    <mergeCell ref="VRY3:VSD3"/>
    <mergeCell ref="VPK3:VPP3"/>
    <mergeCell ref="VPQ3:VPV3"/>
    <mergeCell ref="VPW3:VQB3"/>
    <mergeCell ref="VQC3:VQH3"/>
    <mergeCell ref="VQI3:VQN3"/>
    <mergeCell ref="VQO3:VQT3"/>
    <mergeCell ref="VOA3:VOF3"/>
    <mergeCell ref="VOG3:VOL3"/>
    <mergeCell ref="VOM3:VOR3"/>
    <mergeCell ref="VOS3:VOX3"/>
    <mergeCell ref="VOY3:VPD3"/>
    <mergeCell ref="VPE3:VPJ3"/>
    <mergeCell ref="VMQ3:VMV3"/>
    <mergeCell ref="VMW3:VNB3"/>
    <mergeCell ref="VNC3:VNH3"/>
    <mergeCell ref="VNI3:VNN3"/>
    <mergeCell ref="VNO3:VNT3"/>
    <mergeCell ref="VNU3:VNZ3"/>
    <mergeCell ref="VLG3:VLL3"/>
    <mergeCell ref="VLM3:VLR3"/>
    <mergeCell ref="VLS3:VLX3"/>
    <mergeCell ref="VLY3:VMD3"/>
    <mergeCell ref="VME3:VMJ3"/>
    <mergeCell ref="VMK3:VMP3"/>
    <mergeCell ref="VJW3:VKB3"/>
    <mergeCell ref="VKC3:VKH3"/>
    <mergeCell ref="VKI3:VKN3"/>
    <mergeCell ref="VKO3:VKT3"/>
    <mergeCell ref="VKU3:VKZ3"/>
    <mergeCell ref="VLA3:VLF3"/>
    <mergeCell ref="VIM3:VIR3"/>
    <mergeCell ref="VIS3:VIX3"/>
    <mergeCell ref="VIY3:VJD3"/>
    <mergeCell ref="VJE3:VJJ3"/>
    <mergeCell ref="VJK3:VJP3"/>
    <mergeCell ref="VJQ3:VJV3"/>
    <mergeCell ref="VHC3:VHH3"/>
    <mergeCell ref="VHI3:VHN3"/>
    <mergeCell ref="VHO3:VHT3"/>
    <mergeCell ref="VHU3:VHZ3"/>
    <mergeCell ref="VIA3:VIF3"/>
    <mergeCell ref="VIG3:VIL3"/>
    <mergeCell ref="VFS3:VFX3"/>
    <mergeCell ref="VFY3:VGD3"/>
    <mergeCell ref="VGE3:VGJ3"/>
    <mergeCell ref="VGK3:VGP3"/>
    <mergeCell ref="VGQ3:VGV3"/>
    <mergeCell ref="VGW3:VHB3"/>
    <mergeCell ref="VEI3:VEN3"/>
    <mergeCell ref="VEO3:VET3"/>
    <mergeCell ref="VEU3:VEZ3"/>
    <mergeCell ref="VFA3:VFF3"/>
    <mergeCell ref="VFG3:VFL3"/>
    <mergeCell ref="VFM3:VFR3"/>
    <mergeCell ref="VCY3:VDD3"/>
    <mergeCell ref="VDE3:VDJ3"/>
    <mergeCell ref="VDK3:VDP3"/>
    <mergeCell ref="VDQ3:VDV3"/>
    <mergeCell ref="VDW3:VEB3"/>
    <mergeCell ref="VEC3:VEH3"/>
    <mergeCell ref="VBO3:VBT3"/>
    <mergeCell ref="VBU3:VBZ3"/>
    <mergeCell ref="VCA3:VCF3"/>
    <mergeCell ref="VCG3:VCL3"/>
    <mergeCell ref="VCM3:VCR3"/>
    <mergeCell ref="VCS3:VCX3"/>
    <mergeCell ref="VAE3:VAJ3"/>
    <mergeCell ref="VAK3:VAP3"/>
    <mergeCell ref="VAQ3:VAV3"/>
    <mergeCell ref="VAW3:VBB3"/>
    <mergeCell ref="VBC3:VBH3"/>
    <mergeCell ref="VBI3:VBN3"/>
    <mergeCell ref="UYU3:UYZ3"/>
    <mergeCell ref="UZA3:UZF3"/>
    <mergeCell ref="UZG3:UZL3"/>
    <mergeCell ref="UZM3:UZR3"/>
    <mergeCell ref="UZS3:UZX3"/>
    <mergeCell ref="UZY3:VAD3"/>
    <mergeCell ref="UXK3:UXP3"/>
    <mergeCell ref="UXQ3:UXV3"/>
    <mergeCell ref="UXW3:UYB3"/>
    <mergeCell ref="UYC3:UYH3"/>
    <mergeCell ref="UYI3:UYN3"/>
    <mergeCell ref="UYO3:UYT3"/>
    <mergeCell ref="UWA3:UWF3"/>
    <mergeCell ref="UWG3:UWL3"/>
    <mergeCell ref="UWM3:UWR3"/>
    <mergeCell ref="UWS3:UWX3"/>
    <mergeCell ref="UWY3:UXD3"/>
    <mergeCell ref="UXE3:UXJ3"/>
    <mergeCell ref="UUQ3:UUV3"/>
    <mergeCell ref="UUW3:UVB3"/>
    <mergeCell ref="UVC3:UVH3"/>
    <mergeCell ref="UVI3:UVN3"/>
    <mergeCell ref="UVO3:UVT3"/>
    <mergeCell ref="UVU3:UVZ3"/>
    <mergeCell ref="UTG3:UTL3"/>
    <mergeCell ref="UTM3:UTR3"/>
    <mergeCell ref="UTS3:UTX3"/>
    <mergeCell ref="UTY3:UUD3"/>
    <mergeCell ref="UUE3:UUJ3"/>
    <mergeCell ref="UUK3:UUP3"/>
    <mergeCell ref="URW3:USB3"/>
    <mergeCell ref="USC3:USH3"/>
    <mergeCell ref="USI3:USN3"/>
    <mergeCell ref="USO3:UST3"/>
    <mergeCell ref="USU3:USZ3"/>
    <mergeCell ref="UTA3:UTF3"/>
    <mergeCell ref="UQM3:UQR3"/>
    <mergeCell ref="UQS3:UQX3"/>
    <mergeCell ref="UQY3:URD3"/>
    <mergeCell ref="URE3:URJ3"/>
    <mergeCell ref="URK3:URP3"/>
    <mergeCell ref="URQ3:URV3"/>
    <mergeCell ref="UPC3:UPH3"/>
    <mergeCell ref="UPI3:UPN3"/>
    <mergeCell ref="UPO3:UPT3"/>
    <mergeCell ref="UPU3:UPZ3"/>
    <mergeCell ref="UQA3:UQF3"/>
    <mergeCell ref="UQG3:UQL3"/>
    <mergeCell ref="UNS3:UNX3"/>
    <mergeCell ref="UNY3:UOD3"/>
    <mergeCell ref="UOE3:UOJ3"/>
    <mergeCell ref="UOK3:UOP3"/>
    <mergeCell ref="UOQ3:UOV3"/>
    <mergeCell ref="UOW3:UPB3"/>
    <mergeCell ref="UMI3:UMN3"/>
    <mergeCell ref="UMO3:UMT3"/>
    <mergeCell ref="UMU3:UMZ3"/>
    <mergeCell ref="UNA3:UNF3"/>
    <mergeCell ref="UNG3:UNL3"/>
    <mergeCell ref="UNM3:UNR3"/>
    <mergeCell ref="UKY3:ULD3"/>
    <mergeCell ref="ULE3:ULJ3"/>
    <mergeCell ref="ULK3:ULP3"/>
    <mergeCell ref="ULQ3:ULV3"/>
    <mergeCell ref="ULW3:UMB3"/>
    <mergeCell ref="UMC3:UMH3"/>
    <mergeCell ref="UJO3:UJT3"/>
    <mergeCell ref="UJU3:UJZ3"/>
    <mergeCell ref="UKA3:UKF3"/>
    <mergeCell ref="UKG3:UKL3"/>
    <mergeCell ref="UKM3:UKR3"/>
    <mergeCell ref="UKS3:UKX3"/>
    <mergeCell ref="UIE3:UIJ3"/>
    <mergeCell ref="UIK3:UIP3"/>
    <mergeCell ref="UIQ3:UIV3"/>
    <mergeCell ref="UIW3:UJB3"/>
    <mergeCell ref="UJC3:UJH3"/>
    <mergeCell ref="UJI3:UJN3"/>
    <mergeCell ref="UGU3:UGZ3"/>
    <mergeCell ref="UHA3:UHF3"/>
    <mergeCell ref="UHG3:UHL3"/>
    <mergeCell ref="UHM3:UHR3"/>
    <mergeCell ref="UHS3:UHX3"/>
    <mergeCell ref="UHY3:UID3"/>
    <mergeCell ref="UFK3:UFP3"/>
    <mergeCell ref="UFQ3:UFV3"/>
    <mergeCell ref="UFW3:UGB3"/>
    <mergeCell ref="UGC3:UGH3"/>
    <mergeCell ref="UGI3:UGN3"/>
    <mergeCell ref="UGO3:UGT3"/>
    <mergeCell ref="UEA3:UEF3"/>
    <mergeCell ref="UEG3:UEL3"/>
    <mergeCell ref="UEM3:UER3"/>
    <mergeCell ref="UES3:UEX3"/>
    <mergeCell ref="UEY3:UFD3"/>
    <mergeCell ref="UFE3:UFJ3"/>
    <mergeCell ref="UCQ3:UCV3"/>
    <mergeCell ref="UCW3:UDB3"/>
    <mergeCell ref="UDC3:UDH3"/>
    <mergeCell ref="UDI3:UDN3"/>
    <mergeCell ref="UDO3:UDT3"/>
    <mergeCell ref="UDU3:UDZ3"/>
    <mergeCell ref="UBG3:UBL3"/>
    <mergeCell ref="UBM3:UBR3"/>
    <mergeCell ref="UBS3:UBX3"/>
    <mergeCell ref="UBY3:UCD3"/>
    <mergeCell ref="UCE3:UCJ3"/>
    <mergeCell ref="UCK3:UCP3"/>
    <mergeCell ref="TZW3:UAB3"/>
    <mergeCell ref="UAC3:UAH3"/>
    <mergeCell ref="UAI3:UAN3"/>
    <mergeCell ref="UAO3:UAT3"/>
    <mergeCell ref="UAU3:UAZ3"/>
    <mergeCell ref="UBA3:UBF3"/>
    <mergeCell ref="TYM3:TYR3"/>
    <mergeCell ref="TYS3:TYX3"/>
    <mergeCell ref="TYY3:TZD3"/>
    <mergeCell ref="TZE3:TZJ3"/>
    <mergeCell ref="TZK3:TZP3"/>
    <mergeCell ref="TZQ3:TZV3"/>
    <mergeCell ref="TXC3:TXH3"/>
    <mergeCell ref="TXI3:TXN3"/>
    <mergeCell ref="TXO3:TXT3"/>
    <mergeCell ref="TXU3:TXZ3"/>
    <mergeCell ref="TYA3:TYF3"/>
    <mergeCell ref="TYG3:TYL3"/>
    <mergeCell ref="TVS3:TVX3"/>
    <mergeCell ref="TVY3:TWD3"/>
    <mergeCell ref="TWE3:TWJ3"/>
    <mergeCell ref="TWK3:TWP3"/>
    <mergeCell ref="TWQ3:TWV3"/>
    <mergeCell ref="TWW3:TXB3"/>
    <mergeCell ref="TUI3:TUN3"/>
    <mergeCell ref="TUO3:TUT3"/>
    <mergeCell ref="TUU3:TUZ3"/>
    <mergeCell ref="TVA3:TVF3"/>
    <mergeCell ref="TVG3:TVL3"/>
    <mergeCell ref="TVM3:TVR3"/>
    <mergeCell ref="TSY3:TTD3"/>
    <mergeCell ref="TTE3:TTJ3"/>
    <mergeCell ref="TTK3:TTP3"/>
    <mergeCell ref="TTQ3:TTV3"/>
    <mergeCell ref="TTW3:TUB3"/>
    <mergeCell ref="TUC3:TUH3"/>
    <mergeCell ref="TRO3:TRT3"/>
    <mergeCell ref="TRU3:TRZ3"/>
    <mergeCell ref="TSA3:TSF3"/>
    <mergeCell ref="TSG3:TSL3"/>
    <mergeCell ref="TSM3:TSR3"/>
    <mergeCell ref="TSS3:TSX3"/>
    <mergeCell ref="TQE3:TQJ3"/>
    <mergeCell ref="TQK3:TQP3"/>
    <mergeCell ref="TQQ3:TQV3"/>
    <mergeCell ref="TQW3:TRB3"/>
    <mergeCell ref="TRC3:TRH3"/>
    <mergeCell ref="TRI3:TRN3"/>
    <mergeCell ref="TOU3:TOZ3"/>
    <mergeCell ref="TPA3:TPF3"/>
    <mergeCell ref="TPG3:TPL3"/>
    <mergeCell ref="TPM3:TPR3"/>
    <mergeCell ref="TPS3:TPX3"/>
    <mergeCell ref="TPY3:TQD3"/>
    <mergeCell ref="TNK3:TNP3"/>
    <mergeCell ref="TNQ3:TNV3"/>
    <mergeCell ref="TNW3:TOB3"/>
    <mergeCell ref="TOC3:TOH3"/>
    <mergeCell ref="TOI3:TON3"/>
    <mergeCell ref="TOO3:TOT3"/>
    <mergeCell ref="TMA3:TMF3"/>
    <mergeCell ref="TMG3:TML3"/>
    <mergeCell ref="TMM3:TMR3"/>
    <mergeCell ref="TMS3:TMX3"/>
    <mergeCell ref="TMY3:TND3"/>
    <mergeCell ref="TNE3:TNJ3"/>
    <mergeCell ref="TKQ3:TKV3"/>
    <mergeCell ref="TKW3:TLB3"/>
    <mergeCell ref="TLC3:TLH3"/>
    <mergeCell ref="TLI3:TLN3"/>
    <mergeCell ref="TLO3:TLT3"/>
    <mergeCell ref="TLU3:TLZ3"/>
    <mergeCell ref="TJG3:TJL3"/>
    <mergeCell ref="TJM3:TJR3"/>
    <mergeCell ref="TJS3:TJX3"/>
    <mergeCell ref="TJY3:TKD3"/>
    <mergeCell ref="TKE3:TKJ3"/>
    <mergeCell ref="TKK3:TKP3"/>
    <mergeCell ref="THW3:TIB3"/>
    <mergeCell ref="TIC3:TIH3"/>
    <mergeCell ref="TII3:TIN3"/>
    <mergeCell ref="TIO3:TIT3"/>
    <mergeCell ref="TIU3:TIZ3"/>
    <mergeCell ref="TJA3:TJF3"/>
    <mergeCell ref="TGM3:TGR3"/>
    <mergeCell ref="TGS3:TGX3"/>
    <mergeCell ref="TGY3:THD3"/>
    <mergeCell ref="THE3:THJ3"/>
    <mergeCell ref="THK3:THP3"/>
    <mergeCell ref="THQ3:THV3"/>
    <mergeCell ref="TFC3:TFH3"/>
    <mergeCell ref="TFI3:TFN3"/>
    <mergeCell ref="TFO3:TFT3"/>
    <mergeCell ref="TFU3:TFZ3"/>
    <mergeCell ref="TGA3:TGF3"/>
    <mergeCell ref="TGG3:TGL3"/>
    <mergeCell ref="TDS3:TDX3"/>
    <mergeCell ref="TDY3:TED3"/>
    <mergeCell ref="TEE3:TEJ3"/>
    <mergeCell ref="TEK3:TEP3"/>
    <mergeCell ref="TEQ3:TEV3"/>
    <mergeCell ref="TEW3:TFB3"/>
    <mergeCell ref="TCI3:TCN3"/>
    <mergeCell ref="TCO3:TCT3"/>
    <mergeCell ref="TCU3:TCZ3"/>
    <mergeCell ref="TDA3:TDF3"/>
    <mergeCell ref="TDG3:TDL3"/>
    <mergeCell ref="TDM3:TDR3"/>
    <mergeCell ref="TAY3:TBD3"/>
    <mergeCell ref="TBE3:TBJ3"/>
    <mergeCell ref="TBK3:TBP3"/>
    <mergeCell ref="TBQ3:TBV3"/>
    <mergeCell ref="TBW3:TCB3"/>
    <mergeCell ref="TCC3:TCH3"/>
    <mergeCell ref="SZO3:SZT3"/>
    <mergeCell ref="SZU3:SZZ3"/>
    <mergeCell ref="TAA3:TAF3"/>
    <mergeCell ref="TAG3:TAL3"/>
    <mergeCell ref="TAM3:TAR3"/>
    <mergeCell ref="TAS3:TAX3"/>
    <mergeCell ref="SYE3:SYJ3"/>
    <mergeCell ref="SYK3:SYP3"/>
    <mergeCell ref="SYQ3:SYV3"/>
    <mergeCell ref="SYW3:SZB3"/>
    <mergeCell ref="SZC3:SZH3"/>
    <mergeCell ref="SZI3:SZN3"/>
    <mergeCell ref="SWU3:SWZ3"/>
    <mergeCell ref="SXA3:SXF3"/>
    <mergeCell ref="SXG3:SXL3"/>
    <mergeCell ref="SXM3:SXR3"/>
    <mergeCell ref="SXS3:SXX3"/>
    <mergeCell ref="SXY3:SYD3"/>
    <mergeCell ref="SVK3:SVP3"/>
    <mergeCell ref="SVQ3:SVV3"/>
    <mergeCell ref="SVW3:SWB3"/>
    <mergeCell ref="SWC3:SWH3"/>
    <mergeCell ref="SWI3:SWN3"/>
    <mergeCell ref="SWO3:SWT3"/>
    <mergeCell ref="SUA3:SUF3"/>
    <mergeCell ref="SUG3:SUL3"/>
    <mergeCell ref="SUM3:SUR3"/>
    <mergeCell ref="SUS3:SUX3"/>
    <mergeCell ref="SUY3:SVD3"/>
    <mergeCell ref="SVE3:SVJ3"/>
    <mergeCell ref="SSQ3:SSV3"/>
    <mergeCell ref="SSW3:STB3"/>
    <mergeCell ref="STC3:STH3"/>
    <mergeCell ref="STI3:STN3"/>
    <mergeCell ref="STO3:STT3"/>
    <mergeCell ref="STU3:STZ3"/>
    <mergeCell ref="SRG3:SRL3"/>
    <mergeCell ref="SRM3:SRR3"/>
    <mergeCell ref="SRS3:SRX3"/>
    <mergeCell ref="SRY3:SSD3"/>
    <mergeCell ref="SSE3:SSJ3"/>
    <mergeCell ref="SSK3:SSP3"/>
    <mergeCell ref="SPW3:SQB3"/>
    <mergeCell ref="SQC3:SQH3"/>
    <mergeCell ref="SQI3:SQN3"/>
    <mergeCell ref="SQO3:SQT3"/>
    <mergeCell ref="SQU3:SQZ3"/>
    <mergeCell ref="SRA3:SRF3"/>
    <mergeCell ref="SOM3:SOR3"/>
    <mergeCell ref="SOS3:SOX3"/>
    <mergeCell ref="SOY3:SPD3"/>
    <mergeCell ref="SPE3:SPJ3"/>
    <mergeCell ref="SPK3:SPP3"/>
    <mergeCell ref="SPQ3:SPV3"/>
    <mergeCell ref="SNC3:SNH3"/>
    <mergeCell ref="SNI3:SNN3"/>
    <mergeCell ref="SNO3:SNT3"/>
    <mergeCell ref="SNU3:SNZ3"/>
    <mergeCell ref="SOA3:SOF3"/>
    <mergeCell ref="SOG3:SOL3"/>
    <mergeCell ref="SLS3:SLX3"/>
    <mergeCell ref="SLY3:SMD3"/>
    <mergeCell ref="SME3:SMJ3"/>
    <mergeCell ref="SMK3:SMP3"/>
    <mergeCell ref="SMQ3:SMV3"/>
    <mergeCell ref="SMW3:SNB3"/>
    <mergeCell ref="SKI3:SKN3"/>
    <mergeCell ref="SKO3:SKT3"/>
    <mergeCell ref="SKU3:SKZ3"/>
    <mergeCell ref="SLA3:SLF3"/>
    <mergeCell ref="SLG3:SLL3"/>
    <mergeCell ref="SLM3:SLR3"/>
    <mergeCell ref="SIY3:SJD3"/>
    <mergeCell ref="SJE3:SJJ3"/>
    <mergeCell ref="SJK3:SJP3"/>
    <mergeCell ref="SJQ3:SJV3"/>
    <mergeCell ref="SJW3:SKB3"/>
    <mergeCell ref="SKC3:SKH3"/>
    <mergeCell ref="SHO3:SHT3"/>
    <mergeCell ref="SHU3:SHZ3"/>
    <mergeCell ref="SIA3:SIF3"/>
    <mergeCell ref="SIG3:SIL3"/>
    <mergeCell ref="SIM3:SIR3"/>
    <mergeCell ref="SIS3:SIX3"/>
    <mergeCell ref="SGE3:SGJ3"/>
    <mergeCell ref="SGK3:SGP3"/>
    <mergeCell ref="SGQ3:SGV3"/>
    <mergeCell ref="SGW3:SHB3"/>
    <mergeCell ref="SHC3:SHH3"/>
    <mergeCell ref="SHI3:SHN3"/>
    <mergeCell ref="SEU3:SEZ3"/>
    <mergeCell ref="SFA3:SFF3"/>
    <mergeCell ref="SFG3:SFL3"/>
    <mergeCell ref="SFM3:SFR3"/>
    <mergeCell ref="SFS3:SFX3"/>
    <mergeCell ref="SFY3:SGD3"/>
    <mergeCell ref="SDK3:SDP3"/>
    <mergeCell ref="SDQ3:SDV3"/>
    <mergeCell ref="SDW3:SEB3"/>
    <mergeCell ref="SEC3:SEH3"/>
    <mergeCell ref="SEI3:SEN3"/>
    <mergeCell ref="SEO3:SET3"/>
    <mergeCell ref="SCA3:SCF3"/>
    <mergeCell ref="SCG3:SCL3"/>
    <mergeCell ref="SCM3:SCR3"/>
    <mergeCell ref="SCS3:SCX3"/>
    <mergeCell ref="SCY3:SDD3"/>
    <mergeCell ref="SDE3:SDJ3"/>
    <mergeCell ref="SAQ3:SAV3"/>
    <mergeCell ref="SAW3:SBB3"/>
    <mergeCell ref="SBC3:SBH3"/>
    <mergeCell ref="SBI3:SBN3"/>
    <mergeCell ref="SBO3:SBT3"/>
    <mergeCell ref="SBU3:SBZ3"/>
    <mergeCell ref="RZG3:RZL3"/>
    <mergeCell ref="RZM3:RZR3"/>
    <mergeCell ref="RZS3:RZX3"/>
    <mergeCell ref="RZY3:SAD3"/>
    <mergeCell ref="SAE3:SAJ3"/>
    <mergeCell ref="SAK3:SAP3"/>
    <mergeCell ref="RXW3:RYB3"/>
    <mergeCell ref="RYC3:RYH3"/>
    <mergeCell ref="RYI3:RYN3"/>
    <mergeCell ref="RYO3:RYT3"/>
    <mergeCell ref="RYU3:RYZ3"/>
    <mergeCell ref="RZA3:RZF3"/>
    <mergeCell ref="RWM3:RWR3"/>
    <mergeCell ref="RWS3:RWX3"/>
    <mergeCell ref="RWY3:RXD3"/>
    <mergeCell ref="RXE3:RXJ3"/>
    <mergeCell ref="RXK3:RXP3"/>
    <mergeCell ref="RXQ3:RXV3"/>
    <mergeCell ref="RVC3:RVH3"/>
    <mergeCell ref="RVI3:RVN3"/>
    <mergeCell ref="RVO3:RVT3"/>
    <mergeCell ref="RVU3:RVZ3"/>
    <mergeCell ref="RWA3:RWF3"/>
    <mergeCell ref="RWG3:RWL3"/>
    <mergeCell ref="RTS3:RTX3"/>
    <mergeCell ref="RTY3:RUD3"/>
    <mergeCell ref="RUE3:RUJ3"/>
    <mergeCell ref="RUK3:RUP3"/>
    <mergeCell ref="RUQ3:RUV3"/>
    <mergeCell ref="RUW3:RVB3"/>
    <mergeCell ref="RSI3:RSN3"/>
    <mergeCell ref="RSO3:RST3"/>
    <mergeCell ref="RSU3:RSZ3"/>
    <mergeCell ref="RTA3:RTF3"/>
    <mergeCell ref="RTG3:RTL3"/>
    <mergeCell ref="RTM3:RTR3"/>
    <mergeCell ref="RQY3:RRD3"/>
    <mergeCell ref="RRE3:RRJ3"/>
    <mergeCell ref="RRK3:RRP3"/>
    <mergeCell ref="RRQ3:RRV3"/>
    <mergeCell ref="RRW3:RSB3"/>
    <mergeCell ref="RSC3:RSH3"/>
    <mergeCell ref="RPO3:RPT3"/>
    <mergeCell ref="RPU3:RPZ3"/>
    <mergeCell ref="RQA3:RQF3"/>
    <mergeCell ref="RQG3:RQL3"/>
    <mergeCell ref="RQM3:RQR3"/>
    <mergeCell ref="RQS3:RQX3"/>
    <mergeCell ref="ROE3:ROJ3"/>
    <mergeCell ref="ROK3:ROP3"/>
    <mergeCell ref="ROQ3:ROV3"/>
    <mergeCell ref="ROW3:RPB3"/>
    <mergeCell ref="RPC3:RPH3"/>
    <mergeCell ref="RPI3:RPN3"/>
    <mergeCell ref="RMU3:RMZ3"/>
    <mergeCell ref="RNA3:RNF3"/>
    <mergeCell ref="RNG3:RNL3"/>
    <mergeCell ref="RNM3:RNR3"/>
    <mergeCell ref="RNS3:RNX3"/>
    <mergeCell ref="RNY3:ROD3"/>
    <mergeCell ref="RLK3:RLP3"/>
    <mergeCell ref="RLQ3:RLV3"/>
    <mergeCell ref="RLW3:RMB3"/>
    <mergeCell ref="RMC3:RMH3"/>
    <mergeCell ref="RMI3:RMN3"/>
    <mergeCell ref="RMO3:RMT3"/>
    <mergeCell ref="RKA3:RKF3"/>
    <mergeCell ref="RKG3:RKL3"/>
    <mergeCell ref="RKM3:RKR3"/>
    <mergeCell ref="RKS3:RKX3"/>
    <mergeCell ref="RKY3:RLD3"/>
    <mergeCell ref="RLE3:RLJ3"/>
    <mergeCell ref="RIQ3:RIV3"/>
    <mergeCell ref="RIW3:RJB3"/>
    <mergeCell ref="RJC3:RJH3"/>
    <mergeCell ref="RJI3:RJN3"/>
    <mergeCell ref="RJO3:RJT3"/>
    <mergeCell ref="RJU3:RJZ3"/>
    <mergeCell ref="RHG3:RHL3"/>
    <mergeCell ref="RHM3:RHR3"/>
    <mergeCell ref="RHS3:RHX3"/>
    <mergeCell ref="RHY3:RID3"/>
    <mergeCell ref="RIE3:RIJ3"/>
    <mergeCell ref="RIK3:RIP3"/>
    <mergeCell ref="RFW3:RGB3"/>
    <mergeCell ref="RGC3:RGH3"/>
    <mergeCell ref="RGI3:RGN3"/>
    <mergeCell ref="RGO3:RGT3"/>
    <mergeCell ref="RGU3:RGZ3"/>
    <mergeCell ref="RHA3:RHF3"/>
    <mergeCell ref="REM3:RER3"/>
    <mergeCell ref="RES3:REX3"/>
    <mergeCell ref="REY3:RFD3"/>
    <mergeCell ref="RFE3:RFJ3"/>
    <mergeCell ref="RFK3:RFP3"/>
    <mergeCell ref="RFQ3:RFV3"/>
    <mergeCell ref="RDC3:RDH3"/>
    <mergeCell ref="RDI3:RDN3"/>
    <mergeCell ref="RDO3:RDT3"/>
    <mergeCell ref="RDU3:RDZ3"/>
    <mergeCell ref="REA3:REF3"/>
    <mergeCell ref="REG3:REL3"/>
    <mergeCell ref="RBS3:RBX3"/>
    <mergeCell ref="RBY3:RCD3"/>
    <mergeCell ref="RCE3:RCJ3"/>
    <mergeCell ref="RCK3:RCP3"/>
    <mergeCell ref="RCQ3:RCV3"/>
    <mergeCell ref="RCW3:RDB3"/>
    <mergeCell ref="RAI3:RAN3"/>
    <mergeCell ref="RAO3:RAT3"/>
    <mergeCell ref="RAU3:RAZ3"/>
    <mergeCell ref="RBA3:RBF3"/>
    <mergeCell ref="RBG3:RBL3"/>
    <mergeCell ref="RBM3:RBR3"/>
    <mergeCell ref="QYY3:QZD3"/>
    <mergeCell ref="QZE3:QZJ3"/>
    <mergeCell ref="QZK3:QZP3"/>
    <mergeCell ref="QZQ3:QZV3"/>
    <mergeCell ref="QZW3:RAB3"/>
    <mergeCell ref="RAC3:RAH3"/>
    <mergeCell ref="QXO3:QXT3"/>
    <mergeCell ref="QXU3:QXZ3"/>
    <mergeCell ref="QYA3:QYF3"/>
    <mergeCell ref="QYG3:QYL3"/>
    <mergeCell ref="QYM3:QYR3"/>
    <mergeCell ref="QYS3:QYX3"/>
    <mergeCell ref="QWE3:QWJ3"/>
    <mergeCell ref="QWK3:QWP3"/>
    <mergeCell ref="QWQ3:QWV3"/>
    <mergeCell ref="QWW3:QXB3"/>
    <mergeCell ref="QXC3:QXH3"/>
    <mergeCell ref="QXI3:QXN3"/>
    <mergeCell ref="QUU3:QUZ3"/>
    <mergeCell ref="QVA3:QVF3"/>
    <mergeCell ref="QVG3:QVL3"/>
    <mergeCell ref="QVM3:QVR3"/>
    <mergeCell ref="QVS3:QVX3"/>
    <mergeCell ref="QVY3:QWD3"/>
    <mergeCell ref="QTK3:QTP3"/>
    <mergeCell ref="QTQ3:QTV3"/>
    <mergeCell ref="QTW3:QUB3"/>
    <mergeCell ref="QUC3:QUH3"/>
    <mergeCell ref="QUI3:QUN3"/>
    <mergeCell ref="QUO3:QUT3"/>
    <mergeCell ref="QSA3:QSF3"/>
    <mergeCell ref="QSG3:QSL3"/>
    <mergeCell ref="QSM3:QSR3"/>
    <mergeCell ref="QSS3:QSX3"/>
    <mergeCell ref="QSY3:QTD3"/>
    <mergeCell ref="QTE3:QTJ3"/>
    <mergeCell ref="QQQ3:QQV3"/>
    <mergeCell ref="QQW3:QRB3"/>
    <mergeCell ref="QRC3:QRH3"/>
    <mergeCell ref="QRI3:QRN3"/>
    <mergeCell ref="QRO3:QRT3"/>
    <mergeCell ref="QRU3:QRZ3"/>
    <mergeCell ref="QPG3:QPL3"/>
    <mergeCell ref="QPM3:QPR3"/>
    <mergeCell ref="QPS3:QPX3"/>
    <mergeCell ref="QPY3:QQD3"/>
    <mergeCell ref="QQE3:QQJ3"/>
    <mergeCell ref="QQK3:QQP3"/>
    <mergeCell ref="QNW3:QOB3"/>
    <mergeCell ref="QOC3:QOH3"/>
    <mergeCell ref="QOI3:QON3"/>
    <mergeCell ref="QOO3:QOT3"/>
    <mergeCell ref="QOU3:QOZ3"/>
    <mergeCell ref="QPA3:QPF3"/>
    <mergeCell ref="QMM3:QMR3"/>
    <mergeCell ref="QMS3:QMX3"/>
    <mergeCell ref="QMY3:QND3"/>
    <mergeCell ref="QNE3:QNJ3"/>
    <mergeCell ref="QNK3:QNP3"/>
    <mergeCell ref="QNQ3:QNV3"/>
    <mergeCell ref="QLC3:QLH3"/>
    <mergeCell ref="QLI3:QLN3"/>
    <mergeCell ref="QLO3:QLT3"/>
    <mergeCell ref="QLU3:QLZ3"/>
    <mergeCell ref="QMA3:QMF3"/>
    <mergeCell ref="QMG3:QML3"/>
    <mergeCell ref="QJS3:QJX3"/>
    <mergeCell ref="QJY3:QKD3"/>
    <mergeCell ref="QKE3:QKJ3"/>
    <mergeCell ref="QKK3:QKP3"/>
    <mergeCell ref="QKQ3:QKV3"/>
    <mergeCell ref="QKW3:QLB3"/>
    <mergeCell ref="QII3:QIN3"/>
    <mergeCell ref="QIO3:QIT3"/>
    <mergeCell ref="QIU3:QIZ3"/>
    <mergeCell ref="QJA3:QJF3"/>
    <mergeCell ref="QJG3:QJL3"/>
    <mergeCell ref="QJM3:QJR3"/>
    <mergeCell ref="QGY3:QHD3"/>
    <mergeCell ref="QHE3:QHJ3"/>
    <mergeCell ref="QHK3:QHP3"/>
    <mergeCell ref="QHQ3:QHV3"/>
    <mergeCell ref="QHW3:QIB3"/>
    <mergeCell ref="QIC3:QIH3"/>
    <mergeCell ref="QFO3:QFT3"/>
    <mergeCell ref="QFU3:QFZ3"/>
    <mergeCell ref="QGA3:QGF3"/>
    <mergeCell ref="QGG3:QGL3"/>
    <mergeCell ref="QGM3:QGR3"/>
    <mergeCell ref="QGS3:QGX3"/>
    <mergeCell ref="QEE3:QEJ3"/>
    <mergeCell ref="QEK3:QEP3"/>
    <mergeCell ref="QEQ3:QEV3"/>
    <mergeCell ref="QEW3:QFB3"/>
    <mergeCell ref="QFC3:QFH3"/>
    <mergeCell ref="QFI3:QFN3"/>
    <mergeCell ref="QCU3:QCZ3"/>
    <mergeCell ref="QDA3:QDF3"/>
    <mergeCell ref="QDG3:QDL3"/>
    <mergeCell ref="QDM3:QDR3"/>
    <mergeCell ref="QDS3:QDX3"/>
    <mergeCell ref="QDY3:QED3"/>
    <mergeCell ref="QBK3:QBP3"/>
    <mergeCell ref="QBQ3:QBV3"/>
    <mergeCell ref="QBW3:QCB3"/>
    <mergeCell ref="QCC3:QCH3"/>
    <mergeCell ref="QCI3:QCN3"/>
    <mergeCell ref="QCO3:QCT3"/>
    <mergeCell ref="QAA3:QAF3"/>
    <mergeCell ref="QAG3:QAL3"/>
    <mergeCell ref="QAM3:QAR3"/>
    <mergeCell ref="QAS3:QAX3"/>
    <mergeCell ref="QAY3:QBD3"/>
    <mergeCell ref="QBE3:QBJ3"/>
    <mergeCell ref="PYQ3:PYV3"/>
    <mergeCell ref="PYW3:PZB3"/>
    <mergeCell ref="PZC3:PZH3"/>
    <mergeCell ref="PZI3:PZN3"/>
    <mergeCell ref="PZO3:PZT3"/>
    <mergeCell ref="PZU3:PZZ3"/>
    <mergeCell ref="PXG3:PXL3"/>
    <mergeCell ref="PXM3:PXR3"/>
    <mergeCell ref="PXS3:PXX3"/>
    <mergeCell ref="PXY3:PYD3"/>
    <mergeCell ref="PYE3:PYJ3"/>
    <mergeCell ref="PYK3:PYP3"/>
    <mergeCell ref="PVW3:PWB3"/>
    <mergeCell ref="PWC3:PWH3"/>
    <mergeCell ref="PWI3:PWN3"/>
    <mergeCell ref="PWO3:PWT3"/>
    <mergeCell ref="PWU3:PWZ3"/>
    <mergeCell ref="PXA3:PXF3"/>
    <mergeCell ref="PUM3:PUR3"/>
    <mergeCell ref="PUS3:PUX3"/>
    <mergeCell ref="PUY3:PVD3"/>
    <mergeCell ref="PVE3:PVJ3"/>
    <mergeCell ref="PVK3:PVP3"/>
    <mergeCell ref="PVQ3:PVV3"/>
    <mergeCell ref="PTC3:PTH3"/>
    <mergeCell ref="PTI3:PTN3"/>
    <mergeCell ref="PTO3:PTT3"/>
    <mergeCell ref="PTU3:PTZ3"/>
    <mergeCell ref="PUA3:PUF3"/>
    <mergeCell ref="PUG3:PUL3"/>
    <mergeCell ref="PRS3:PRX3"/>
    <mergeCell ref="PRY3:PSD3"/>
    <mergeCell ref="PSE3:PSJ3"/>
    <mergeCell ref="PSK3:PSP3"/>
    <mergeCell ref="PSQ3:PSV3"/>
    <mergeCell ref="PSW3:PTB3"/>
    <mergeCell ref="PQI3:PQN3"/>
    <mergeCell ref="PQO3:PQT3"/>
    <mergeCell ref="PQU3:PQZ3"/>
    <mergeCell ref="PRA3:PRF3"/>
    <mergeCell ref="PRG3:PRL3"/>
    <mergeCell ref="PRM3:PRR3"/>
    <mergeCell ref="POY3:PPD3"/>
    <mergeCell ref="PPE3:PPJ3"/>
    <mergeCell ref="PPK3:PPP3"/>
    <mergeCell ref="PPQ3:PPV3"/>
    <mergeCell ref="PPW3:PQB3"/>
    <mergeCell ref="PQC3:PQH3"/>
    <mergeCell ref="PNO3:PNT3"/>
    <mergeCell ref="PNU3:PNZ3"/>
    <mergeCell ref="POA3:POF3"/>
    <mergeCell ref="POG3:POL3"/>
    <mergeCell ref="POM3:POR3"/>
    <mergeCell ref="POS3:POX3"/>
    <mergeCell ref="PME3:PMJ3"/>
    <mergeCell ref="PMK3:PMP3"/>
    <mergeCell ref="PMQ3:PMV3"/>
    <mergeCell ref="PMW3:PNB3"/>
    <mergeCell ref="PNC3:PNH3"/>
    <mergeCell ref="PNI3:PNN3"/>
    <mergeCell ref="PKU3:PKZ3"/>
    <mergeCell ref="PLA3:PLF3"/>
    <mergeCell ref="PLG3:PLL3"/>
    <mergeCell ref="PLM3:PLR3"/>
    <mergeCell ref="PLS3:PLX3"/>
    <mergeCell ref="PLY3:PMD3"/>
    <mergeCell ref="PJK3:PJP3"/>
    <mergeCell ref="PJQ3:PJV3"/>
    <mergeCell ref="PJW3:PKB3"/>
    <mergeCell ref="PKC3:PKH3"/>
    <mergeCell ref="PKI3:PKN3"/>
    <mergeCell ref="PKO3:PKT3"/>
    <mergeCell ref="PIA3:PIF3"/>
    <mergeCell ref="PIG3:PIL3"/>
    <mergeCell ref="PIM3:PIR3"/>
    <mergeCell ref="PIS3:PIX3"/>
    <mergeCell ref="PIY3:PJD3"/>
    <mergeCell ref="PJE3:PJJ3"/>
    <mergeCell ref="PGQ3:PGV3"/>
    <mergeCell ref="PGW3:PHB3"/>
    <mergeCell ref="PHC3:PHH3"/>
    <mergeCell ref="PHI3:PHN3"/>
    <mergeCell ref="PHO3:PHT3"/>
    <mergeCell ref="PHU3:PHZ3"/>
    <mergeCell ref="PFG3:PFL3"/>
    <mergeCell ref="PFM3:PFR3"/>
    <mergeCell ref="PFS3:PFX3"/>
    <mergeCell ref="PFY3:PGD3"/>
    <mergeCell ref="PGE3:PGJ3"/>
    <mergeCell ref="PGK3:PGP3"/>
    <mergeCell ref="PDW3:PEB3"/>
    <mergeCell ref="PEC3:PEH3"/>
    <mergeCell ref="PEI3:PEN3"/>
    <mergeCell ref="PEO3:PET3"/>
    <mergeCell ref="PEU3:PEZ3"/>
    <mergeCell ref="PFA3:PFF3"/>
    <mergeCell ref="PCM3:PCR3"/>
    <mergeCell ref="PCS3:PCX3"/>
    <mergeCell ref="PCY3:PDD3"/>
    <mergeCell ref="PDE3:PDJ3"/>
    <mergeCell ref="PDK3:PDP3"/>
    <mergeCell ref="PDQ3:PDV3"/>
    <mergeCell ref="PBC3:PBH3"/>
    <mergeCell ref="PBI3:PBN3"/>
    <mergeCell ref="PBO3:PBT3"/>
    <mergeCell ref="PBU3:PBZ3"/>
    <mergeCell ref="PCA3:PCF3"/>
    <mergeCell ref="PCG3:PCL3"/>
    <mergeCell ref="OZS3:OZX3"/>
    <mergeCell ref="OZY3:PAD3"/>
    <mergeCell ref="PAE3:PAJ3"/>
    <mergeCell ref="PAK3:PAP3"/>
    <mergeCell ref="PAQ3:PAV3"/>
    <mergeCell ref="PAW3:PBB3"/>
    <mergeCell ref="OYI3:OYN3"/>
    <mergeCell ref="OYO3:OYT3"/>
    <mergeCell ref="OYU3:OYZ3"/>
    <mergeCell ref="OZA3:OZF3"/>
    <mergeCell ref="OZG3:OZL3"/>
    <mergeCell ref="OZM3:OZR3"/>
    <mergeCell ref="OWY3:OXD3"/>
    <mergeCell ref="OXE3:OXJ3"/>
    <mergeCell ref="OXK3:OXP3"/>
    <mergeCell ref="OXQ3:OXV3"/>
    <mergeCell ref="OXW3:OYB3"/>
    <mergeCell ref="OYC3:OYH3"/>
    <mergeCell ref="OVO3:OVT3"/>
    <mergeCell ref="OVU3:OVZ3"/>
    <mergeCell ref="OWA3:OWF3"/>
    <mergeCell ref="OWG3:OWL3"/>
    <mergeCell ref="OWM3:OWR3"/>
    <mergeCell ref="OWS3:OWX3"/>
    <mergeCell ref="OUE3:OUJ3"/>
    <mergeCell ref="OUK3:OUP3"/>
    <mergeCell ref="OUQ3:OUV3"/>
    <mergeCell ref="OUW3:OVB3"/>
    <mergeCell ref="OVC3:OVH3"/>
    <mergeCell ref="OVI3:OVN3"/>
    <mergeCell ref="OSU3:OSZ3"/>
    <mergeCell ref="OTA3:OTF3"/>
    <mergeCell ref="OTG3:OTL3"/>
    <mergeCell ref="OTM3:OTR3"/>
    <mergeCell ref="OTS3:OTX3"/>
    <mergeCell ref="OTY3:OUD3"/>
    <mergeCell ref="ORK3:ORP3"/>
    <mergeCell ref="ORQ3:ORV3"/>
    <mergeCell ref="ORW3:OSB3"/>
    <mergeCell ref="OSC3:OSH3"/>
    <mergeCell ref="OSI3:OSN3"/>
    <mergeCell ref="OSO3:OST3"/>
    <mergeCell ref="OQA3:OQF3"/>
    <mergeCell ref="OQG3:OQL3"/>
    <mergeCell ref="OQM3:OQR3"/>
    <mergeCell ref="OQS3:OQX3"/>
    <mergeCell ref="OQY3:ORD3"/>
    <mergeCell ref="ORE3:ORJ3"/>
    <mergeCell ref="OOQ3:OOV3"/>
    <mergeCell ref="OOW3:OPB3"/>
    <mergeCell ref="OPC3:OPH3"/>
    <mergeCell ref="OPI3:OPN3"/>
    <mergeCell ref="OPO3:OPT3"/>
    <mergeCell ref="OPU3:OPZ3"/>
    <mergeCell ref="ONG3:ONL3"/>
    <mergeCell ref="ONM3:ONR3"/>
    <mergeCell ref="ONS3:ONX3"/>
    <mergeCell ref="ONY3:OOD3"/>
    <mergeCell ref="OOE3:OOJ3"/>
    <mergeCell ref="OOK3:OOP3"/>
    <mergeCell ref="OLW3:OMB3"/>
    <mergeCell ref="OMC3:OMH3"/>
    <mergeCell ref="OMI3:OMN3"/>
    <mergeCell ref="OMO3:OMT3"/>
    <mergeCell ref="OMU3:OMZ3"/>
    <mergeCell ref="ONA3:ONF3"/>
    <mergeCell ref="OKM3:OKR3"/>
    <mergeCell ref="OKS3:OKX3"/>
    <mergeCell ref="OKY3:OLD3"/>
    <mergeCell ref="OLE3:OLJ3"/>
    <mergeCell ref="OLK3:OLP3"/>
    <mergeCell ref="OLQ3:OLV3"/>
    <mergeCell ref="OJC3:OJH3"/>
    <mergeCell ref="OJI3:OJN3"/>
    <mergeCell ref="OJO3:OJT3"/>
    <mergeCell ref="OJU3:OJZ3"/>
    <mergeCell ref="OKA3:OKF3"/>
    <mergeCell ref="OKG3:OKL3"/>
    <mergeCell ref="OHS3:OHX3"/>
    <mergeCell ref="OHY3:OID3"/>
    <mergeCell ref="OIE3:OIJ3"/>
    <mergeCell ref="OIK3:OIP3"/>
    <mergeCell ref="OIQ3:OIV3"/>
    <mergeCell ref="OIW3:OJB3"/>
    <mergeCell ref="OGI3:OGN3"/>
    <mergeCell ref="OGO3:OGT3"/>
    <mergeCell ref="OGU3:OGZ3"/>
    <mergeCell ref="OHA3:OHF3"/>
    <mergeCell ref="OHG3:OHL3"/>
    <mergeCell ref="OHM3:OHR3"/>
    <mergeCell ref="OEY3:OFD3"/>
    <mergeCell ref="OFE3:OFJ3"/>
    <mergeCell ref="OFK3:OFP3"/>
    <mergeCell ref="OFQ3:OFV3"/>
    <mergeCell ref="OFW3:OGB3"/>
    <mergeCell ref="OGC3:OGH3"/>
    <mergeCell ref="ODO3:ODT3"/>
    <mergeCell ref="ODU3:ODZ3"/>
    <mergeCell ref="OEA3:OEF3"/>
    <mergeCell ref="OEG3:OEL3"/>
    <mergeCell ref="OEM3:OER3"/>
    <mergeCell ref="OES3:OEX3"/>
    <mergeCell ref="OCE3:OCJ3"/>
    <mergeCell ref="OCK3:OCP3"/>
    <mergeCell ref="OCQ3:OCV3"/>
    <mergeCell ref="OCW3:ODB3"/>
    <mergeCell ref="ODC3:ODH3"/>
    <mergeCell ref="ODI3:ODN3"/>
    <mergeCell ref="OAU3:OAZ3"/>
    <mergeCell ref="OBA3:OBF3"/>
    <mergeCell ref="OBG3:OBL3"/>
    <mergeCell ref="OBM3:OBR3"/>
    <mergeCell ref="OBS3:OBX3"/>
    <mergeCell ref="OBY3:OCD3"/>
    <mergeCell ref="NZK3:NZP3"/>
    <mergeCell ref="NZQ3:NZV3"/>
    <mergeCell ref="NZW3:OAB3"/>
    <mergeCell ref="OAC3:OAH3"/>
    <mergeCell ref="OAI3:OAN3"/>
    <mergeCell ref="OAO3:OAT3"/>
    <mergeCell ref="NYA3:NYF3"/>
    <mergeCell ref="NYG3:NYL3"/>
    <mergeCell ref="NYM3:NYR3"/>
    <mergeCell ref="NYS3:NYX3"/>
    <mergeCell ref="NYY3:NZD3"/>
    <mergeCell ref="NZE3:NZJ3"/>
    <mergeCell ref="NWQ3:NWV3"/>
    <mergeCell ref="NWW3:NXB3"/>
    <mergeCell ref="NXC3:NXH3"/>
    <mergeCell ref="NXI3:NXN3"/>
    <mergeCell ref="NXO3:NXT3"/>
    <mergeCell ref="NXU3:NXZ3"/>
    <mergeCell ref="NVG3:NVL3"/>
    <mergeCell ref="NVM3:NVR3"/>
    <mergeCell ref="NVS3:NVX3"/>
    <mergeCell ref="NVY3:NWD3"/>
    <mergeCell ref="NWE3:NWJ3"/>
    <mergeCell ref="NWK3:NWP3"/>
    <mergeCell ref="NTW3:NUB3"/>
    <mergeCell ref="NUC3:NUH3"/>
    <mergeCell ref="NUI3:NUN3"/>
    <mergeCell ref="NUO3:NUT3"/>
    <mergeCell ref="NUU3:NUZ3"/>
    <mergeCell ref="NVA3:NVF3"/>
    <mergeCell ref="NSM3:NSR3"/>
    <mergeCell ref="NSS3:NSX3"/>
    <mergeCell ref="NSY3:NTD3"/>
    <mergeCell ref="NTE3:NTJ3"/>
    <mergeCell ref="NTK3:NTP3"/>
    <mergeCell ref="NTQ3:NTV3"/>
    <mergeCell ref="NRC3:NRH3"/>
    <mergeCell ref="NRI3:NRN3"/>
    <mergeCell ref="NRO3:NRT3"/>
    <mergeCell ref="NRU3:NRZ3"/>
    <mergeCell ref="NSA3:NSF3"/>
    <mergeCell ref="NSG3:NSL3"/>
    <mergeCell ref="NPS3:NPX3"/>
    <mergeCell ref="NPY3:NQD3"/>
    <mergeCell ref="NQE3:NQJ3"/>
    <mergeCell ref="NQK3:NQP3"/>
    <mergeCell ref="NQQ3:NQV3"/>
    <mergeCell ref="NQW3:NRB3"/>
    <mergeCell ref="NOI3:NON3"/>
    <mergeCell ref="NOO3:NOT3"/>
    <mergeCell ref="NOU3:NOZ3"/>
    <mergeCell ref="NPA3:NPF3"/>
    <mergeCell ref="NPG3:NPL3"/>
    <mergeCell ref="NPM3:NPR3"/>
    <mergeCell ref="NMY3:NND3"/>
    <mergeCell ref="NNE3:NNJ3"/>
    <mergeCell ref="NNK3:NNP3"/>
    <mergeCell ref="NNQ3:NNV3"/>
    <mergeCell ref="NNW3:NOB3"/>
    <mergeCell ref="NOC3:NOH3"/>
    <mergeCell ref="NLO3:NLT3"/>
    <mergeCell ref="NLU3:NLZ3"/>
    <mergeCell ref="NMA3:NMF3"/>
    <mergeCell ref="NMG3:NML3"/>
    <mergeCell ref="NMM3:NMR3"/>
    <mergeCell ref="NMS3:NMX3"/>
    <mergeCell ref="NKE3:NKJ3"/>
    <mergeCell ref="NKK3:NKP3"/>
    <mergeCell ref="NKQ3:NKV3"/>
    <mergeCell ref="NKW3:NLB3"/>
    <mergeCell ref="NLC3:NLH3"/>
    <mergeCell ref="NLI3:NLN3"/>
    <mergeCell ref="NIU3:NIZ3"/>
    <mergeCell ref="NJA3:NJF3"/>
    <mergeCell ref="NJG3:NJL3"/>
    <mergeCell ref="NJM3:NJR3"/>
    <mergeCell ref="NJS3:NJX3"/>
    <mergeCell ref="NJY3:NKD3"/>
    <mergeCell ref="NHK3:NHP3"/>
    <mergeCell ref="NHQ3:NHV3"/>
    <mergeCell ref="NHW3:NIB3"/>
    <mergeCell ref="NIC3:NIH3"/>
    <mergeCell ref="NII3:NIN3"/>
    <mergeCell ref="NIO3:NIT3"/>
    <mergeCell ref="NGA3:NGF3"/>
    <mergeCell ref="NGG3:NGL3"/>
    <mergeCell ref="NGM3:NGR3"/>
    <mergeCell ref="NGS3:NGX3"/>
    <mergeCell ref="NGY3:NHD3"/>
    <mergeCell ref="NHE3:NHJ3"/>
    <mergeCell ref="NEQ3:NEV3"/>
    <mergeCell ref="NEW3:NFB3"/>
    <mergeCell ref="NFC3:NFH3"/>
    <mergeCell ref="NFI3:NFN3"/>
    <mergeCell ref="NFO3:NFT3"/>
    <mergeCell ref="NFU3:NFZ3"/>
    <mergeCell ref="NDG3:NDL3"/>
    <mergeCell ref="NDM3:NDR3"/>
    <mergeCell ref="NDS3:NDX3"/>
    <mergeCell ref="NDY3:NED3"/>
    <mergeCell ref="NEE3:NEJ3"/>
    <mergeCell ref="NEK3:NEP3"/>
    <mergeCell ref="NBW3:NCB3"/>
    <mergeCell ref="NCC3:NCH3"/>
    <mergeCell ref="NCI3:NCN3"/>
    <mergeCell ref="NCO3:NCT3"/>
    <mergeCell ref="NCU3:NCZ3"/>
    <mergeCell ref="NDA3:NDF3"/>
    <mergeCell ref="NAM3:NAR3"/>
    <mergeCell ref="NAS3:NAX3"/>
    <mergeCell ref="NAY3:NBD3"/>
    <mergeCell ref="NBE3:NBJ3"/>
    <mergeCell ref="NBK3:NBP3"/>
    <mergeCell ref="NBQ3:NBV3"/>
    <mergeCell ref="MZC3:MZH3"/>
    <mergeCell ref="MZI3:MZN3"/>
    <mergeCell ref="MZO3:MZT3"/>
    <mergeCell ref="MZU3:MZZ3"/>
    <mergeCell ref="NAA3:NAF3"/>
    <mergeCell ref="NAG3:NAL3"/>
    <mergeCell ref="MXS3:MXX3"/>
    <mergeCell ref="MXY3:MYD3"/>
    <mergeCell ref="MYE3:MYJ3"/>
    <mergeCell ref="MYK3:MYP3"/>
    <mergeCell ref="MYQ3:MYV3"/>
    <mergeCell ref="MYW3:MZB3"/>
    <mergeCell ref="MWI3:MWN3"/>
    <mergeCell ref="MWO3:MWT3"/>
    <mergeCell ref="MWU3:MWZ3"/>
    <mergeCell ref="MXA3:MXF3"/>
    <mergeCell ref="MXG3:MXL3"/>
    <mergeCell ref="MXM3:MXR3"/>
    <mergeCell ref="MUY3:MVD3"/>
    <mergeCell ref="MVE3:MVJ3"/>
    <mergeCell ref="MVK3:MVP3"/>
    <mergeCell ref="MVQ3:MVV3"/>
    <mergeCell ref="MVW3:MWB3"/>
    <mergeCell ref="MWC3:MWH3"/>
    <mergeCell ref="MTO3:MTT3"/>
    <mergeCell ref="MTU3:MTZ3"/>
    <mergeCell ref="MUA3:MUF3"/>
    <mergeCell ref="MUG3:MUL3"/>
    <mergeCell ref="MUM3:MUR3"/>
    <mergeCell ref="MUS3:MUX3"/>
    <mergeCell ref="MSE3:MSJ3"/>
    <mergeCell ref="MSK3:MSP3"/>
    <mergeCell ref="MSQ3:MSV3"/>
    <mergeCell ref="MSW3:MTB3"/>
    <mergeCell ref="MTC3:MTH3"/>
    <mergeCell ref="MTI3:MTN3"/>
    <mergeCell ref="MQU3:MQZ3"/>
    <mergeCell ref="MRA3:MRF3"/>
    <mergeCell ref="MRG3:MRL3"/>
    <mergeCell ref="MRM3:MRR3"/>
    <mergeCell ref="MRS3:MRX3"/>
    <mergeCell ref="MRY3:MSD3"/>
    <mergeCell ref="MPK3:MPP3"/>
    <mergeCell ref="MPQ3:MPV3"/>
    <mergeCell ref="MPW3:MQB3"/>
    <mergeCell ref="MQC3:MQH3"/>
    <mergeCell ref="MQI3:MQN3"/>
    <mergeCell ref="MQO3:MQT3"/>
    <mergeCell ref="MOA3:MOF3"/>
    <mergeCell ref="MOG3:MOL3"/>
    <mergeCell ref="MOM3:MOR3"/>
    <mergeCell ref="MOS3:MOX3"/>
    <mergeCell ref="MOY3:MPD3"/>
    <mergeCell ref="MPE3:MPJ3"/>
    <mergeCell ref="MMQ3:MMV3"/>
    <mergeCell ref="MMW3:MNB3"/>
    <mergeCell ref="MNC3:MNH3"/>
    <mergeCell ref="MNI3:MNN3"/>
    <mergeCell ref="MNO3:MNT3"/>
    <mergeCell ref="MNU3:MNZ3"/>
    <mergeCell ref="MLG3:MLL3"/>
    <mergeCell ref="MLM3:MLR3"/>
    <mergeCell ref="MLS3:MLX3"/>
    <mergeCell ref="MLY3:MMD3"/>
    <mergeCell ref="MME3:MMJ3"/>
    <mergeCell ref="MMK3:MMP3"/>
    <mergeCell ref="MJW3:MKB3"/>
    <mergeCell ref="MKC3:MKH3"/>
    <mergeCell ref="MKI3:MKN3"/>
    <mergeCell ref="MKO3:MKT3"/>
    <mergeCell ref="MKU3:MKZ3"/>
    <mergeCell ref="MLA3:MLF3"/>
    <mergeCell ref="MIM3:MIR3"/>
    <mergeCell ref="MIS3:MIX3"/>
    <mergeCell ref="MIY3:MJD3"/>
    <mergeCell ref="MJE3:MJJ3"/>
    <mergeCell ref="MJK3:MJP3"/>
    <mergeCell ref="MJQ3:MJV3"/>
    <mergeCell ref="MHC3:MHH3"/>
    <mergeCell ref="MHI3:MHN3"/>
    <mergeCell ref="MHO3:MHT3"/>
    <mergeCell ref="MHU3:MHZ3"/>
    <mergeCell ref="MIA3:MIF3"/>
    <mergeCell ref="MIG3:MIL3"/>
    <mergeCell ref="MFS3:MFX3"/>
    <mergeCell ref="MFY3:MGD3"/>
    <mergeCell ref="MGE3:MGJ3"/>
    <mergeCell ref="MGK3:MGP3"/>
    <mergeCell ref="MGQ3:MGV3"/>
    <mergeCell ref="MGW3:MHB3"/>
    <mergeCell ref="MEI3:MEN3"/>
    <mergeCell ref="MEO3:MET3"/>
    <mergeCell ref="MEU3:MEZ3"/>
    <mergeCell ref="MFA3:MFF3"/>
    <mergeCell ref="MFG3:MFL3"/>
    <mergeCell ref="MFM3:MFR3"/>
    <mergeCell ref="MCY3:MDD3"/>
    <mergeCell ref="MDE3:MDJ3"/>
    <mergeCell ref="MDK3:MDP3"/>
    <mergeCell ref="MDQ3:MDV3"/>
    <mergeCell ref="MDW3:MEB3"/>
    <mergeCell ref="MEC3:MEH3"/>
    <mergeCell ref="MBO3:MBT3"/>
    <mergeCell ref="MBU3:MBZ3"/>
    <mergeCell ref="MCA3:MCF3"/>
    <mergeCell ref="MCG3:MCL3"/>
    <mergeCell ref="MCM3:MCR3"/>
    <mergeCell ref="MCS3:MCX3"/>
    <mergeCell ref="MAE3:MAJ3"/>
    <mergeCell ref="MAK3:MAP3"/>
    <mergeCell ref="MAQ3:MAV3"/>
    <mergeCell ref="MAW3:MBB3"/>
    <mergeCell ref="MBC3:MBH3"/>
    <mergeCell ref="MBI3:MBN3"/>
    <mergeCell ref="LYU3:LYZ3"/>
    <mergeCell ref="LZA3:LZF3"/>
    <mergeCell ref="LZG3:LZL3"/>
    <mergeCell ref="LZM3:LZR3"/>
    <mergeCell ref="LZS3:LZX3"/>
    <mergeCell ref="LZY3:MAD3"/>
    <mergeCell ref="LXK3:LXP3"/>
    <mergeCell ref="LXQ3:LXV3"/>
    <mergeCell ref="LXW3:LYB3"/>
    <mergeCell ref="LYC3:LYH3"/>
    <mergeCell ref="LYI3:LYN3"/>
    <mergeCell ref="LYO3:LYT3"/>
    <mergeCell ref="LWA3:LWF3"/>
    <mergeCell ref="LWG3:LWL3"/>
    <mergeCell ref="LWM3:LWR3"/>
    <mergeCell ref="LWS3:LWX3"/>
    <mergeCell ref="LWY3:LXD3"/>
    <mergeCell ref="LXE3:LXJ3"/>
    <mergeCell ref="LUQ3:LUV3"/>
    <mergeCell ref="LUW3:LVB3"/>
    <mergeCell ref="LVC3:LVH3"/>
    <mergeCell ref="LVI3:LVN3"/>
    <mergeCell ref="LVO3:LVT3"/>
    <mergeCell ref="LVU3:LVZ3"/>
    <mergeCell ref="LTG3:LTL3"/>
    <mergeCell ref="LTM3:LTR3"/>
    <mergeCell ref="LTS3:LTX3"/>
    <mergeCell ref="LTY3:LUD3"/>
    <mergeCell ref="LUE3:LUJ3"/>
    <mergeCell ref="LUK3:LUP3"/>
    <mergeCell ref="LRW3:LSB3"/>
    <mergeCell ref="LSC3:LSH3"/>
    <mergeCell ref="LSI3:LSN3"/>
    <mergeCell ref="LSO3:LST3"/>
    <mergeCell ref="LSU3:LSZ3"/>
    <mergeCell ref="LTA3:LTF3"/>
    <mergeCell ref="LQM3:LQR3"/>
    <mergeCell ref="LQS3:LQX3"/>
    <mergeCell ref="LQY3:LRD3"/>
    <mergeCell ref="LRE3:LRJ3"/>
    <mergeCell ref="LRK3:LRP3"/>
    <mergeCell ref="LRQ3:LRV3"/>
    <mergeCell ref="LPC3:LPH3"/>
    <mergeCell ref="LPI3:LPN3"/>
    <mergeCell ref="LPO3:LPT3"/>
    <mergeCell ref="LPU3:LPZ3"/>
    <mergeCell ref="LQA3:LQF3"/>
    <mergeCell ref="LQG3:LQL3"/>
    <mergeCell ref="LNS3:LNX3"/>
    <mergeCell ref="LNY3:LOD3"/>
    <mergeCell ref="LOE3:LOJ3"/>
    <mergeCell ref="LOK3:LOP3"/>
    <mergeCell ref="LOQ3:LOV3"/>
    <mergeCell ref="LOW3:LPB3"/>
    <mergeCell ref="LMI3:LMN3"/>
    <mergeCell ref="LMO3:LMT3"/>
    <mergeCell ref="LMU3:LMZ3"/>
    <mergeCell ref="LNA3:LNF3"/>
    <mergeCell ref="LNG3:LNL3"/>
    <mergeCell ref="LNM3:LNR3"/>
    <mergeCell ref="LKY3:LLD3"/>
    <mergeCell ref="LLE3:LLJ3"/>
    <mergeCell ref="LLK3:LLP3"/>
    <mergeCell ref="LLQ3:LLV3"/>
    <mergeCell ref="LLW3:LMB3"/>
    <mergeCell ref="LMC3:LMH3"/>
    <mergeCell ref="LJO3:LJT3"/>
    <mergeCell ref="LJU3:LJZ3"/>
    <mergeCell ref="LKA3:LKF3"/>
    <mergeCell ref="LKG3:LKL3"/>
    <mergeCell ref="LKM3:LKR3"/>
    <mergeCell ref="LKS3:LKX3"/>
    <mergeCell ref="LIE3:LIJ3"/>
    <mergeCell ref="LIK3:LIP3"/>
    <mergeCell ref="LIQ3:LIV3"/>
    <mergeCell ref="LIW3:LJB3"/>
    <mergeCell ref="LJC3:LJH3"/>
    <mergeCell ref="LJI3:LJN3"/>
    <mergeCell ref="LGU3:LGZ3"/>
    <mergeCell ref="LHA3:LHF3"/>
    <mergeCell ref="LHG3:LHL3"/>
    <mergeCell ref="LHM3:LHR3"/>
    <mergeCell ref="LHS3:LHX3"/>
    <mergeCell ref="LHY3:LID3"/>
    <mergeCell ref="LFK3:LFP3"/>
    <mergeCell ref="LFQ3:LFV3"/>
    <mergeCell ref="LFW3:LGB3"/>
    <mergeCell ref="LGC3:LGH3"/>
    <mergeCell ref="LGI3:LGN3"/>
    <mergeCell ref="LGO3:LGT3"/>
    <mergeCell ref="LEA3:LEF3"/>
    <mergeCell ref="LEG3:LEL3"/>
    <mergeCell ref="LEM3:LER3"/>
    <mergeCell ref="LES3:LEX3"/>
    <mergeCell ref="LEY3:LFD3"/>
    <mergeCell ref="LFE3:LFJ3"/>
    <mergeCell ref="LCQ3:LCV3"/>
    <mergeCell ref="LCW3:LDB3"/>
    <mergeCell ref="LDC3:LDH3"/>
    <mergeCell ref="LDI3:LDN3"/>
    <mergeCell ref="LDO3:LDT3"/>
    <mergeCell ref="LDU3:LDZ3"/>
    <mergeCell ref="LBG3:LBL3"/>
    <mergeCell ref="LBM3:LBR3"/>
    <mergeCell ref="LBS3:LBX3"/>
    <mergeCell ref="LBY3:LCD3"/>
    <mergeCell ref="LCE3:LCJ3"/>
    <mergeCell ref="LCK3:LCP3"/>
    <mergeCell ref="KZW3:LAB3"/>
    <mergeCell ref="LAC3:LAH3"/>
    <mergeCell ref="LAI3:LAN3"/>
    <mergeCell ref="LAO3:LAT3"/>
    <mergeCell ref="LAU3:LAZ3"/>
    <mergeCell ref="LBA3:LBF3"/>
    <mergeCell ref="KYM3:KYR3"/>
    <mergeCell ref="KYS3:KYX3"/>
    <mergeCell ref="KYY3:KZD3"/>
    <mergeCell ref="KZE3:KZJ3"/>
    <mergeCell ref="KZK3:KZP3"/>
    <mergeCell ref="KZQ3:KZV3"/>
    <mergeCell ref="KXC3:KXH3"/>
    <mergeCell ref="KXI3:KXN3"/>
    <mergeCell ref="KXO3:KXT3"/>
    <mergeCell ref="KXU3:KXZ3"/>
    <mergeCell ref="KYA3:KYF3"/>
    <mergeCell ref="KYG3:KYL3"/>
    <mergeCell ref="KVS3:KVX3"/>
    <mergeCell ref="KVY3:KWD3"/>
    <mergeCell ref="KWE3:KWJ3"/>
    <mergeCell ref="KWK3:KWP3"/>
    <mergeCell ref="KWQ3:KWV3"/>
    <mergeCell ref="KWW3:KXB3"/>
    <mergeCell ref="KUI3:KUN3"/>
    <mergeCell ref="KUO3:KUT3"/>
    <mergeCell ref="KUU3:KUZ3"/>
    <mergeCell ref="KVA3:KVF3"/>
    <mergeCell ref="KVG3:KVL3"/>
    <mergeCell ref="KVM3:KVR3"/>
    <mergeCell ref="KSY3:KTD3"/>
    <mergeCell ref="KTE3:KTJ3"/>
    <mergeCell ref="KTK3:KTP3"/>
    <mergeCell ref="KTQ3:KTV3"/>
    <mergeCell ref="KTW3:KUB3"/>
    <mergeCell ref="KUC3:KUH3"/>
    <mergeCell ref="KRO3:KRT3"/>
    <mergeCell ref="KRU3:KRZ3"/>
    <mergeCell ref="KSA3:KSF3"/>
    <mergeCell ref="KSG3:KSL3"/>
    <mergeCell ref="KSM3:KSR3"/>
    <mergeCell ref="KSS3:KSX3"/>
    <mergeCell ref="KQE3:KQJ3"/>
    <mergeCell ref="KQK3:KQP3"/>
    <mergeCell ref="KQQ3:KQV3"/>
    <mergeCell ref="KQW3:KRB3"/>
    <mergeCell ref="KRC3:KRH3"/>
    <mergeCell ref="KRI3:KRN3"/>
    <mergeCell ref="KOU3:KOZ3"/>
    <mergeCell ref="KPA3:KPF3"/>
    <mergeCell ref="KPG3:KPL3"/>
    <mergeCell ref="KPM3:KPR3"/>
    <mergeCell ref="KPS3:KPX3"/>
    <mergeCell ref="KPY3:KQD3"/>
    <mergeCell ref="KNK3:KNP3"/>
    <mergeCell ref="KNQ3:KNV3"/>
    <mergeCell ref="KNW3:KOB3"/>
    <mergeCell ref="KOC3:KOH3"/>
    <mergeCell ref="KOI3:KON3"/>
    <mergeCell ref="KOO3:KOT3"/>
    <mergeCell ref="KMA3:KMF3"/>
    <mergeCell ref="KMG3:KML3"/>
    <mergeCell ref="KMM3:KMR3"/>
    <mergeCell ref="KMS3:KMX3"/>
    <mergeCell ref="KMY3:KND3"/>
    <mergeCell ref="KNE3:KNJ3"/>
    <mergeCell ref="KKQ3:KKV3"/>
    <mergeCell ref="KKW3:KLB3"/>
    <mergeCell ref="KLC3:KLH3"/>
    <mergeCell ref="KLI3:KLN3"/>
    <mergeCell ref="KLO3:KLT3"/>
    <mergeCell ref="KLU3:KLZ3"/>
    <mergeCell ref="KJG3:KJL3"/>
    <mergeCell ref="KJM3:KJR3"/>
    <mergeCell ref="KJS3:KJX3"/>
    <mergeCell ref="KJY3:KKD3"/>
    <mergeCell ref="KKE3:KKJ3"/>
    <mergeCell ref="KKK3:KKP3"/>
    <mergeCell ref="KHW3:KIB3"/>
    <mergeCell ref="KIC3:KIH3"/>
    <mergeCell ref="KII3:KIN3"/>
    <mergeCell ref="KIO3:KIT3"/>
    <mergeCell ref="KIU3:KIZ3"/>
    <mergeCell ref="KJA3:KJF3"/>
    <mergeCell ref="KGM3:KGR3"/>
    <mergeCell ref="KGS3:KGX3"/>
    <mergeCell ref="KGY3:KHD3"/>
    <mergeCell ref="KHE3:KHJ3"/>
    <mergeCell ref="KHK3:KHP3"/>
    <mergeCell ref="KHQ3:KHV3"/>
    <mergeCell ref="KFC3:KFH3"/>
    <mergeCell ref="KFI3:KFN3"/>
    <mergeCell ref="KFO3:KFT3"/>
    <mergeCell ref="KFU3:KFZ3"/>
    <mergeCell ref="KGA3:KGF3"/>
    <mergeCell ref="KGG3:KGL3"/>
    <mergeCell ref="KDS3:KDX3"/>
    <mergeCell ref="KDY3:KED3"/>
    <mergeCell ref="KEE3:KEJ3"/>
    <mergeCell ref="KEK3:KEP3"/>
    <mergeCell ref="KEQ3:KEV3"/>
    <mergeCell ref="KEW3:KFB3"/>
    <mergeCell ref="KCI3:KCN3"/>
    <mergeCell ref="KCO3:KCT3"/>
    <mergeCell ref="KCU3:KCZ3"/>
    <mergeCell ref="KDA3:KDF3"/>
    <mergeCell ref="KDG3:KDL3"/>
    <mergeCell ref="KDM3:KDR3"/>
    <mergeCell ref="KAY3:KBD3"/>
    <mergeCell ref="KBE3:KBJ3"/>
    <mergeCell ref="KBK3:KBP3"/>
    <mergeCell ref="KBQ3:KBV3"/>
    <mergeCell ref="KBW3:KCB3"/>
    <mergeCell ref="KCC3:KCH3"/>
    <mergeCell ref="JZO3:JZT3"/>
    <mergeCell ref="JZU3:JZZ3"/>
    <mergeCell ref="KAA3:KAF3"/>
    <mergeCell ref="KAG3:KAL3"/>
    <mergeCell ref="KAM3:KAR3"/>
    <mergeCell ref="KAS3:KAX3"/>
    <mergeCell ref="JYE3:JYJ3"/>
    <mergeCell ref="JYK3:JYP3"/>
    <mergeCell ref="JYQ3:JYV3"/>
    <mergeCell ref="JYW3:JZB3"/>
    <mergeCell ref="JZC3:JZH3"/>
    <mergeCell ref="JZI3:JZN3"/>
    <mergeCell ref="JWU3:JWZ3"/>
    <mergeCell ref="JXA3:JXF3"/>
    <mergeCell ref="JXG3:JXL3"/>
    <mergeCell ref="JXM3:JXR3"/>
    <mergeCell ref="JXS3:JXX3"/>
    <mergeCell ref="JXY3:JYD3"/>
    <mergeCell ref="JVK3:JVP3"/>
    <mergeCell ref="JVQ3:JVV3"/>
    <mergeCell ref="JVW3:JWB3"/>
    <mergeCell ref="JWC3:JWH3"/>
    <mergeCell ref="JWI3:JWN3"/>
    <mergeCell ref="JWO3:JWT3"/>
    <mergeCell ref="JUA3:JUF3"/>
    <mergeCell ref="JUG3:JUL3"/>
    <mergeCell ref="JUM3:JUR3"/>
    <mergeCell ref="JUS3:JUX3"/>
    <mergeCell ref="JUY3:JVD3"/>
    <mergeCell ref="JVE3:JVJ3"/>
    <mergeCell ref="JSQ3:JSV3"/>
    <mergeCell ref="JSW3:JTB3"/>
    <mergeCell ref="JTC3:JTH3"/>
    <mergeCell ref="JTI3:JTN3"/>
    <mergeCell ref="JTO3:JTT3"/>
    <mergeCell ref="JTU3:JTZ3"/>
    <mergeCell ref="JRG3:JRL3"/>
    <mergeCell ref="JRM3:JRR3"/>
    <mergeCell ref="JRS3:JRX3"/>
    <mergeCell ref="JRY3:JSD3"/>
    <mergeCell ref="JSE3:JSJ3"/>
    <mergeCell ref="JSK3:JSP3"/>
    <mergeCell ref="JPW3:JQB3"/>
    <mergeCell ref="JQC3:JQH3"/>
    <mergeCell ref="JQI3:JQN3"/>
    <mergeCell ref="JQO3:JQT3"/>
    <mergeCell ref="JQU3:JQZ3"/>
    <mergeCell ref="JRA3:JRF3"/>
    <mergeCell ref="JOM3:JOR3"/>
    <mergeCell ref="JOS3:JOX3"/>
    <mergeCell ref="JOY3:JPD3"/>
    <mergeCell ref="JPE3:JPJ3"/>
    <mergeCell ref="JPK3:JPP3"/>
    <mergeCell ref="JPQ3:JPV3"/>
    <mergeCell ref="JNC3:JNH3"/>
    <mergeCell ref="JNI3:JNN3"/>
    <mergeCell ref="JNO3:JNT3"/>
    <mergeCell ref="JNU3:JNZ3"/>
    <mergeCell ref="JOA3:JOF3"/>
    <mergeCell ref="JOG3:JOL3"/>
    <mergeCell ref="JLS3:JLX3"/>
    <mergeCell ref="JLY3:JMD3"/>
    <mergeCell ref="JME3:JMJ3"/>
    <mergeCell ref="JMK3:JMP3"/>
    <mergeCell ref="JMQ3:JMV3"/>
    <mergeCell ref="JMW3:JNB3"/>
    <mergeCell ref="JKI3:JKN3"/>
    <mergeCell ref="JKO3:JKT3"/>
    <mergeCell ref="JKU3:JKZ3"/>
    <mergeCell ref="JLA3:JLF3"/>
    <mergeCell ref="JLG3:JLL3"/>
    <mergeCell ref="JLM3:JLR3"/>
    <mergeCell ref="JIY3:JJD3"/>
    <mergeCell ref="JJE3:JJJ3"/>
    <mergeCell ref="JJK3:JJP3"/>
    <mergeCell ref="JJQ3:JJV3"/>
    <mergeCell ref="JJW3:JKB3"/>
    <mergeCell ref="JKC3:JKH3"/>
    <mergeCell ref="JHO3:JHT3"/>
    <mergeCell ref="JHU3:JHZ3"/>
    <mergeCell ref="JIA3:JIF3"/>
    <mergeCell ref="JIG3:JIL3"/>
    <mergeCell ref="JIM3:JIR3"/>
    <mergeCell ref="JIS3:JIX3"/>
    <mergeCell ref="JGE3:JGJ3"/>
    <mergeCell ref="JGK3:JGP3"/>
    <mergeCell ref="JGQ3:JGV3"/>
    <mergeCell ref="JGW3:JHB3"/>
    <mergeCell ref="JHC3:JHH3"/>
    <mergeCell ref="JHI3:JHN3"/>
    <mergeCell ref="JEU3:JEZ3"/>
    <mergeCell ref="JFA3:JFF3"/>
    <mergeCell ref="JFG3:JFL3"/>
    <mergeCell ref="JFM3:JFR3"/>
    <mergeCell ref="JFS3:JFX3"/>
    <mergeCell ref="JFY3:JGD3"/>
    <mergeCell ref="JDK3:JDP3"/>
    <mergeCell ref="JDQ3:JDV3"/>
    <mergeCell ref="JDW3:JEB3"/>
    <mergeCell ref="JEC3:JEH3"/>
    <mergeCell ref="JEI3:JEN3"/>
    <mergeCell ref="JEO3:JET3"/>
    <mergeCell ref="JCA3:JCF3"/>
    <mergeCell ref="JCG3:JCL3"/>
    <mergeCell ref="JCM3:JCR3"/>
    <mergeCell ref="JCS3:JCX3"/>
    <mergeCell ref="JCY3:JDD3"/>
    <mergeCell ref="JDE3:JDJ3"/>
    <mergeCell ref="JAQ3:JAV3"/>
    <mergeCell ref="JAW3:JBB3"/>
    <mergeCell ref="JBC3:JBH3"/>
    <mergeCell ref="JBI3:JBN3"/>
    <mergeCell ref="JBO3:JBT3"/>
    <mergeCell ref="JBU3:JBZ3"/>
    <mergeCell ref="IZG3:IZL3"/>
    <mergeCell ref="IZM3:IZR3"/>
    <mergeCell ref="IZS3:IZX3"/>
    <mergeCell ref="IZY3:JAD3"/>
    <mergeCell ref="JAE3:JAJ3"/>
    <mergeCell ref="JAK3:JAP3"/>
    <mergeCell ref="IXW3:IYB3"/>
    <mergeCell ref="IYC3:IYH3"/>
    <mergeCell ref="IYI3:IYN3"/>
    <mergeCell ref="IYO3:IYT3"/>
    <mergeCell ref="IYU3:IYZ3"/>
    <mergeCell ref="IZA3:IZF3"/>
    <mergeCell ref="IWM3:IWR3"/>
    <mergeCell ref="IWS3:IWX3"/>
    <mergeCell ref="IWY3:IXD3"/>
    <mergeCell ref="IXE3:IXJ3"/>
    <mergeCell ref="IXK3:IXP3"/>
    <mergeCell ref="IXQ3:IXV3"/>
    <mergeCell ref="IVC3:IVH3"/>
    <mergeCell ref="IVI3:IVN3"/>
    <mergeCell ref="IVO3:IVT3"/>
    <mergeCell ref="IVU3:IVZ3"/>
    <mergeCell ref="IWA3:IWF3"/>
    <mergeCell ref="IWG3:IWL3"/>
    <mergeCell ref="ITS3:ITX3"/>
    <mergeCell ref="ITY3:IUD3"/>
    <mergeCell ref="IUE3:IUJ3"/>
    <mergeCell ref="IUK3:IUP3"/>
    <mergeCell ref="IUQ3:IUV3"/>
    <mergeCell ref="IUW3:IVB3"/>
    <mergeCell ref="ISI3:ISN3"/>
    <mergeCell ref="ISO3:IST3"/>
    <mergeCell ref="ISU3:ISZ3"/>
    <mergeCell ref="ITA3:ITF3"/>
    <mergeCell ref="ITG3:ITL3"/>
    <mergeCell ref="ITM3:ITR3"/>
    <mergeCell ref="IQY3:IRD3"/>
    <mergeCell ref="IRE3:IRJ3"/>
    <mergeCell ref="IRK3:IRP3"/>
    <mergeCell ref="IRQ3:IRV3"/>
    <mergeCell ref="IRW3:ISB3"/>
    <mergeCell ref="ISC3:ISH3"/>
    <mergeCell ref="IPO3:IPT3"/>
    <mergeCell ref="IPU3:IPZ3"/>
    <mergeCell ref="IQA3:IQF3"/>
    <mergeCell ref="IQG3:IQL3"/>
    <mergeCell ref="IQM3:IQR3"/>
    <mergeCell ref="IQS3:IQX3"/>
    <mergeCell ref="IOE3:IOJ3"/>
    <mergeCell ref="IOK3:IOP3"/>
    <mergeCell ref="IOQ3:IOV3"/>
    <mergeCell ref="IOW3:IPB3"/>
    <mergeCell ref="IPC3:IPH3"/>
    <mergeCell ref="IPI3:IPN3"/>
    <mergeCell ref="IMU3:IMZ3"/>
    <mergeCell ref="INA3:INF3"/>
    <mergeCell ref="ING3:INL3"/>
    <mergeCell ref="INM3:INR3"/>
    <mergeCell ref="INS3:INX3"/>
    <mergeCell ref="INY3:IOD3"/>
    <mergeCell ref="ILK3:ILP3"/>
    <mergeCell ref="ILQ3:ILV3"/>
    <mergeCell ref="ILW3:IMB3"/>
    <mergeCell ref="IMC3:IMH3"/>
    <mergeCell ref="IMI3:IMN3"/>
    <mergeCell ref="IMO3:IMT3"/>
    <mergeCell ref="IKA3:IKF3"/>
    <mergeCell ref="IKG3:IKL3"/>
    <mergeCell ref="IKM3:IKR3"/>
    <mergeCell ref="IKS3:IKX3"/>
    <mergeCell ref="IKY3:ILD3"/>
    <mergeCell ref="ILE3:ILJ3"/>
    <mergeCell ref="IIQ3:IIV3"/>
    <mergeCell ref="IIW3:IJB3"/>
    <mergeCell ref="IJC3:IJH3"/>
    <mergeCell ref="IJI3:IJN3"/>
    <mergeCell ref="IJO3:IJT3"/>
    <mergeCell ref="IJU3:IJZ3"/>
    <mergeCell ref="IHG3:IHL3"/>
    <mergeCell ref="IHM3:IHR3"/>
    <mergeCell ref="IHS3:IHX3"/>
    <mergeCell ref="IHY3:IID3"/>
    <mergeCell ref="IIE3:IIJ3"/>
    <mergeCell ref="IIK3:IIP3"/>
    <mergeCell ref="IFW3:IGB3"/>
    <mergeCell ref="IGC3:IGH3"/>
    <mergeCell ref="IGI3:IGN3"/>
    <mergeCell ref="IGO3:IGT3"/>
    <mergeCell ref="IGU3:IGZ3"/>
    <mergeCell ref="IHA3:IHF3"/>
    <mergeCell ref="IEM3:IER3"/>
    <mergeCell ref="IES3:IEX3"/>
    <mergeCell ref="IEY3:IFD3"/>
    <mergeCell ref="IFE3:IFJ3"/>
    <mergeCell ref="IFK3:IFP3"/>
    <mergeCell ref="IFQ3:IFV3"/>
    <mergeCell ref="IDC3:IDH3"/>
    <mergeCell ref="IDI3:IDN3"/>
    <mergeCell ref="IDO3:IDT3"/>
    <mergeCell ref="IDU3:IDZ3"/>
    <mergeCell ref="IEA3:IEF3"/>
    <mergeCell ref="IEG3:IEL3"/>
    <mergeCell ref="IBS3:IBX3"/>
    <mergeCell ref="IBY3:ICD3"/>
    <mergeCell ref="ICE3:ICJ3"/>
    <mergeCell ref="ICK3:ICP3"/>
    <mergeCell ref="ICQ3:ICV3"/>
    <mergeCell ref="ICW3:IDB3"/>
    <mergeCell ref="IAI3:IAN3"/>
    <mergeCell ref="IAO3:IAT3"/>
    <mergeCell ref="IAU3:IAZ3"/>
    <mergeCell ref="IBA3:IBF3"/>
    <mergeCell ref="IBG3:IBL3"/>
    <mergeCell ref="IBM3:IBR3"/>
    <mergeCell ref="HYY3:HZD3"/>
    <mergeCell ref="HZE3:HZJ3"/>
    <mergeCell ref="HZK3:HZP3"/>
    <mergeCell ref="HZQ3:HZV3"/>
    <mergeCell ref="HZW3:IAB3"/>
    <mergeCell ref="IAC3:IAH3"/>
    <mergeCell ref="HXO3:HXT3"/>
    <mergeCell ref="HXU3:HXZ3"/>
    <mergeCell ref="HYA3:HYF3"/>
    <mergeCell ref="HYG3:HYL3"/>
    <mergeCell ref="HYM3:HYR3"/>
    <mergeCell ref="HYS3:HYX3"/>
    <mergeCell ref="HWE3:HWJ3"/>
    <mergeCell ref="HWK3:HWP3"/>
    <mergeCell ref="HWQ3:HWV3"/>
    <mergeCell ref="HWW3:HXB3"/>
    <mergeCell ref="HXC3:HXH3"/>
    <mergeCell ref="HXI3:HXN3"/>
    <mergeCell ref="HUU3:HUZ3"/>
    <mergeCell ref="HVA3:HVF3"/>
    <mergeCell ref="HVG3:HVL3"/>
    <mergeCell ref="HVM3:HVR3"/>
    <mergeCell ref="HVS3:HVX3"/>
    <mergeCell ref="HVY3:HWD3"/>
    <mergeCell ref="HTK3:HTP3"/>
    <mergeCell ref="HTQ3:HTV3"/>
    <mergeCell ref="HTW3:HUB3"/>
    <mergeCell ref="HUC3:HUH3"/>
    <mergeCell ref="HUI3:HUN3"/>
    <mergeCell ref="HUO3:HUT3"/>
    <mergeCell ref="HSA3:HSF3"/>
    <mergeCell ref="HSG3:HSL3"/>
    <mergeCell ref="HSM3:HSR3"/>
    <mergeCell ref="HSS3:HSX3"/>
    <mergeCell ref="HSY3:HTD3"/>
    <mergeCell ref="HTE3:HTJ3"/>
    <mergeCell ref="HQQ3:HQV3"/>
    <mergeCell ref="HQW3:HRB3"/>
    <mergeCell ref="HRC3:HRH3"/>
    <mergeCell ref="HRI3:HRN3"/>
    <mergeCell ref="HRO3:HRT3"/>
    <mergeCell ref="HRU3:HRZ3"/>
    <mergeCell ref="HPG3:HPL3"/>
    <mergeCell ref="HPM3:HPR3"/>
    <mergeCell ref="HPS3:HPX3"/>
    <mergeCell ref="HPY3:HQD3"/>
    <mergeCell ref="HQE3:HQJ3"/>
    <mergeCell ref="HQK3:HQP3"/>
    <mergeCell ref="HNW3:HOB3"/>
    <mergeCell ref="HOC3:HOH3"/>
    <mergeCell ref="HOI3:HON3"/>
    <mergeCell ref="HOO3:HOT3"/>
    <mergeCell ref="HOU3:HOZ3"/>
    <mergeCell ref="HPA3:HPF3"/>
    <mergeCell ref="HMM3:HMR3"/>
    <mergeCell ref="HMS3:HMX3"/>
    <mergeCell ref="HMY3:HND3"/>
    <mergeCell ref="HNE3:HNJ3"/>
    <mergeCell ref="HNK3:HNP3"/>
    <mergeCell ref="HNQ3:HNV3"/>
    <mergeCell ref="HLC3:HLH3"/>
    <mergeCell ref="HLI3:HLN3"/>
    <mergeCell ref="HLO3:HLT3"/>
    <mergeCell ref="HLU3:HLZ3"/>
    <mergeCell ref="HMA3:HMF3"/>
    <mergeCell ref="HMG3:HML3"/>
    <mergeCell ref="HJS3:HJX3"/>
    <mergeCell ref="HJY3:HKD3"/>
    <mergeCell ref="HKE3:HKJ3"/>
    <mergeCell ref="HKK3:HKP3"/>
    <mergeCell ref="HKQ3:HKV3"/>
    <mergeCell ref="HKW3:HLB3"/>
    <mergeCell ref="HII3:HIN3"/>
    <mergeCell ref="HIO3:HIT3"/>
    <mergeCell ref="HIU3:HIZ3"/>
    <mergeCell ref="HJA3:HJF3"/>
    <mergeCell ref="HJG3:HJL3"/>
    <mergeCell ref="HJM3:HJR3"/>
    <mergeCell ref="HGY3:HHD3"/>
    <mergeCell ref="HHE3:HHJ3"/>
    <mergeCell ref="HHK3:HHP3"/>
    <mergeCell ref="HHQ3:HHV3"/>
    <mergeCell ref="HHW3:HIB3"/>
    <mergeCell ref="HIC3:HIH3"/>
    <mergeCell ref="HFO3:HFT3"/>
    <mergeCell ref="HFU3:HFZ3"/>
    <mergeCell ref="HGA3:HGF3"/>
    <mergeCell ref="HGG3:HGL3"/>
    <mergeCell ref="HGM3:HGR3"/>
    <mergeCell ref="HGS3:HGX3"/>
    <mergeCell ref="HEE3:HEJ3"/>
    <mergeCell ref="HEK3:HEP3"/>
    <mergeCell ref="HEQ3:HEV3"/>
    <mergeCell ref="HEW3:HFB3"/>
    <mergeCell ref="HFC3:HFH3"/>
    <mergeCell ref="HFI3:HFN3"/>
    <mergeCell ref="HCU3:HCZ3"/>
    <mergeCell ref="HDA3:HDF3"/>
    <mergeCell ref="HDG3:HDL3"/>
    <mergeCell ref="HDM3:HDR3"/>
    <mergeCell ref="HDS3:HDX3"/>
    <mergeCell ref="HDY3:HED3"/>
    <mergeCell ref="HBK3:HBP3"/>
    <mergeCell ref="HBQ3:HBV3"/>
    <mergeCell ref="HBW3:HCB3"/>
    <mergeCell ref="HCC3:HCH3"/>
    <mergeCell ref="HCI3:HCN3"/>
    <mergeCell ref="HCO3:HCT3"/>
    <mergeCell ref="HAA3:HAF3"/>
    <mergeCell ref="HAG3:HAL3"/>
    <mergeCell ref="HAM3:HAR3"/>
    <mergeCell ref="HAS3:HAX3"/>
    <mergeCell ref="HAY3:HBD3"/>
    <mergeCell ref="HBE3:HBJ3"/>
    <mergeCell ref="GYQ3:GYV3"/>
    <mergeCell ref="GYW3:GZB3"/>
    <mergeCell ref="GZC3:GZH3"/>
    <mergeCell ref="GZI3:GZN3"/>
    <mergeCell ref="GZO3:GZT3"/>
    <mergeCell ref="GZU3:GZZ3"/>
    <mergeCell ref="GXG3:GXL3"/>
    <mergeCell ref="GXM3:GXR3"/>
    <mergeCell ref="GXS3:GXX3"/>
    <mergeCell ref="GXY3:GYD3"/>
    <mergeCell ref="GYE3:GYJ3"/>
    <mergeCell ref="GYK3:GYP3"/>
    <mergeCell ref="GVW3:GWB3"/>
    <mergeCell ref="GWC3:GWH3"/>
    <mergeCell ref="GWI3:GWN3"/>
    <mergeCell ref="GWO3:GWT3"/>
    <mergeCell ref="GWU3:GWZ3"/>
    <mergeCell ref="GXA3:GXF3"/>
    <mergeCell ref="GUM3:GUR3"/>
    <mergeCell ref="GUS3:GUX3"/>
    <mergeCell ref="GUY3:GVD3"/>
    <mergeCell ref="GVE3:GVJ3"/>
    <mergeCell ref="GVK3:GVP3"/>
    <mergeCell ref="GVQ3:GVV3"/>
    <mergeCell ref="GTC3:GTH3"/>
    <mergeCell ref="GTI3:GTN3"/>
    <mergeCell ref="GTO3:GTT3"/>
    <mergeCell ref="GTU3:GTZ3"/>
    <mergeCell ref="GUA3:GUF3"/>
    <mergeCell ref="GUG3:GUL3"/>
    <mergeCell ref="GRS3:GRX3"/>
    <mergeCell ref="GRY3:GSD3"/>
    <mergeCell ref="GSE3:GSJ3"/>
    <mergeCell ref="GSK3:GSP3"/>
    <mergeCell ref="GSQ3:GSV3"/>
    <mergeCell ref="GSW3:GTB3"/>
    <mergeCell ref="GQI3:GQN3"/>
    <mergeCell ref="GQO3:GQT3"/>
    <mergeCell ref="GQU3:GQZ3"/>
    <mergeCell ref="GRA3:GRF3"/>
    <mergeCell ref="GRG3:GRL3"/>
    <mergeCell ref="GRM3:GRR3"/>
    <mergeCell ref="GOY3:GPD3"/>
    <mergeCell ref="GPE3:GPJ3"/>
    <mergeCell ref="GPK3:GPP3"/>
    <mergeCell ref="GPQ3:GPV3"/>
    <mergeCell ref="GPW3:GQB3"/>
    <mergeCell ref="GQC3:GQH3"/>
    <mergeCell ref="GNO3:GNT3"/>
    <mergeCell ref="GNU3:GNZ3"/>
    <mergeCell ref="GOA3:GOF3"/>
    <mergeCell ref="GOG3:GOL3"/>
    <mergeCell ref="GOM3:GOR3"/>
    <mergeCell ref="GOS3:GOX3"/>
    <mergeCell ref="GME3:GMJ3"/>
    <mergeCell ref="GMK3:GMP3"/>
    <mergeCell ref="GMQ3:GMV3"/>
    <mergeCell ref="GMW3:GNB3"/>
    <mergeCell ref="GNC3:GNH3"/>
    <mergeCell ref="GNI3:GNN3"/>
    <mergeCell ref="GKU3:GKZ3"/>
    <mergeCell ref="GLA3:GLF3"/>
    <mergeCell ref="GLG3:GLL3"/>
    <mergeCell ref="GLM3:GLR3"/>
    <mergeCell ref="GLS3:GLX3"/>
    <mergeCell ref="GLY3:GMD3"/>
    <mergeCell ref="GJK3:GJP3"/>
    <mergeCell ref="GJQ3:GJV3"/>
    <mergeCell ref="GJW3:GKB3"/>
    <mergeCell ref="GKC3:GKH3"/>
    <mergeCell ref="GKI3:GKN3"/>
    <mergeCell ref="GKO3:GKT3"/>
    <mergeCell ref="GIA3:GIF3"/>
    <mergeCell ref="GIG3:GIL3"/>
    <mergeCell ref="GIM3:GIR3"/>
    <mergeCell ref="GIS3:GIX3"/>
    <mergeCell ref="GIY3:GJD3"/>
    <mergeCell ref="GJE3:GJJ3"/>
    <mergeCell ref="GGQ3:GGV3"/>
    <mergeCell ref="GGW3:GHB3"/>
    <mergeCell ref="GHC3:GHH3"/>
    <mergeCell ref="GHI3:GHN3"/>
    <mergeCell ref="GHO3:GHT3"/>
    <mergeCell ref="GHU3:GHZ3"/>
    <mergeCell ref="GFG3:GFL3"/>
    <mergeCell ref="GFM3:GFR3"/>
    <mergeCell ref="GFS3:GFX3"/>
    <mergeCell ref="GFY3:GGD3"/>
    <mergeCell ref="GGE3:GGJ3"/>
    <mergeCell ref="GGK3:GGP3"/>
    <mergeCell ref="GDW3:GEB3"/>
    <mergeCell ref="GEC3:GEH3"/>
    <mergeCell ref="GEI3:GEN3"/>
    <mergeCell ref="GEO3:GET3"/>
    <mergeCell ref="GEU3:GEZ3"/>
    <mergeCell ref="GFA3:GFF3"/>
    <mergeCell ref="GCM3:GCR3"/>
    <mergeCell ref="GCS3:GCX3"/>
    <mergeCell ref="GCY3:GDD3"/>
    <mergeCell ref="GDE3:GDJ3"/>
    <mergeCell ref="GDK3:GDP3"/>
    <mergeCell ref="GDQ3:GDV3"/>
    <mergeCell ref="GBC3:GBH3"/>
    <mergeCell ref="GBI3:GBN3"/>
    <mergeCell ref="GBO3:GBT3"/>
    <mergeCell ref="GBU3:GBZ3"/>
    <mergeCell ref="GCA3:GCF3"/>
    <mergeCell ref="GCG3:GCL3"/>
    <mergeCell ref="FZS3:FZX3"/>
    <mergeCell ref="FZY3:GAD3"/>
    <mergeCell ref="GAE3:GAJ3"/>
    <mergeCell ref="GAK3:GAP3"/>
    <mergeCell ref="GAQ3:GAV3"/>
    <mergeCell ref="GAW3:GBB3"/>
    <mergeCell ref="FYI3:FYN3"/>
    <mergeCell ref="FYO3:FYT3"/>
    <mergeCell ref="FYU3:FYZ3"/>
    <mergeCell ref="FZA3:FZF3"/>
    <mergeCell ref="FZG3:FZL3"/>
    <mergeCell ref="FZM3:FZR3"/>
    <mergeCell ref="FWY3:FXD3"/>
    <mergeCell ref="FXE3:FXJ3"/>
    <mergeCell ref="FXK3:FXP3"/>
    <mergeCell ref="FXQ3:FXV3"/>
    <mergeCell ref="FXW3:FYB3"/>
    <mergeCell ref="FYC3:FYH3"/>
    <mergeCell ref="FVO3:FVT3"/>
    <mergeCell ref="FVU3:FVZ3"/>
    <mergeCell ref="FWA3:FWF3"/>
    <mergeCell ref="FWG3:FWL3"/>
    <mergeCell ref="FWM3:FWR3"/>
    <mergeCell ref="FWS3:FWX3"/>
    <mergeCell ref="FUE3:FUJ3"/>
    <mergeCell ref="FUK3:FUP3"/>
    <mergeCell ref="FUQ3:FUV3"/>
    <mergeCell ref="FUW3:FVB3"/>
    <mergeCell ref="FVC3:FVH3"/>
    <mergeCell ref="FVI3:FVN3"/>
    <mergeCell ref="FSU3:FSZ3"/>
    <mergeCell ref="FTA3:FTF3"/>
    <mergeCell ref="FTG3:FTL3"/>
    <mergeCell ref="FTM3:FTR3"/>
    <mergeCell ref="FTS3:FTX3"/>
    <mergeCell ref="FTY3:FUD3"/>
    <mergeCell ref="FRK3:FRP3"/>
    <mergeCell ref="FRQ3:FRV3"/>
    <mergeCell ref="FRW3:FSB3"/>
    <mergeCell ref="FSC3:FSH3"/>
    <mergeCell ref="FSI3:FSN3"/>
    <mergeCell ref="FSO3:FST3"/>
    <mergeCell ref="FQA3:FQF3"/>
    <mergeCell ref="FQG3:FQL3"/>
    <mergeCell ref="FQM3:FQR3"/>
    <mergeCell ref="FQS3:FQX3"/>
    <mergeCell ref="FQY3:FRD3"/>
    <mergeCell ref="FRE3:FRJ3"/>
    <mergeCell ref="FOQ3:FOV3"/>
    <mergeCell ref="FOW3:FPB3"/>
    <mergeCell ref="FPC3:FPH3"/>
    <mergeCell ref="FPI3:FPN3"/>
    <mergeCell ref="FPO3:FPT3"/>
    <mergeCell ref="FPU3:FPZ3"/>
    <mergeCell ref="FNG3:FNL3"/>
    <mergeCell ref="FNM3:FNR3"/>
    <mergeCell ref="FNS3:FNX3"/>
    <mergeCell ref="FNY3:FOD3"/>
    <mergeCell ref="FOE3:FOJ3"/>
    <mergeCell ref="FOK3:FOP3"/>
    <mergeCell ref="FLW3:FMB3"/>
    <mergeCell ref="FMC3:FMH3"/>
    <mergeCell ref="FMI3:FMN3"/>
    <mergeCell ref="FMO3:FMT3"/>
    <mergeCell ref="FMU3:FMZ3"/>
    <mergeCell ref="FNA3:FNF3"/>
    <mergeCell ref="FKM3:FKR3"/>
    <mergeCell ref="FKS3:FKX3"/>
    <mergeCell ref="FKY3:FLD3"/>
    <mergeCell ref="FLE3:FLJ3"/>
    <mergeCell ref="FLK3:FLP3"/>
    <mergeCell ref="FLQ3:FLV3"/>
    <mergeCell ref="FJC3:FJH3"/>
    <mergeCell ref="FJI3:FJN3"/>
    <mergeCell ref="FJO3:FJT3"/>
    <mergeCell ref="FJU3:FJZ3"/>
    <mergeCell ref="FKA3:FKF3"/>
    <mergeCell ref="FKG3:FKL3"/>
    <mergeCell ref="FHS3:FHX3"/>
    <mergeCell ref="FHY3:FID3"/>
    <mergeCell ref="FIE3:FIJ3"/>
    <mergeCell ref="FIK3:FIP3"/>
    <mergeCell ref="FIQ3:FIV3"/>
    <mergeCell ref="FIW3:FJB3"/>
    <mergeCell ref="FGI3:FGN3"/>
    <mergeCell ref="FGO3:FGT3"/>
    <mergeCell ref="FGU3:FGZ3"/>
    <mergeCell ref="FHA3:FHF3"/>
    <mergeCell ref="FHG3:FHL3"/>
    <mergeCell ref="FHM3:FHR3"/>
    <mergeCell ref="FEY3:FFD3"/>
    <mergeCell ref="FFE3:FFJ3"/>
    <mergeCell ref="FFK3:FFP3"/>
    <mergeCell ref="FFQ3:FFV3"/>
    <mergeCell ref="FFW3:FGB3"/>
    <mergeCell ref="FGC3:FGH3"/>
    <mergeCell ref="FDO3:FDT3"/>
    <mergeCell ref="FDU3:FDZ3"/>
    <mergeCell ref="FEA3:FEF3"/>
    <mergeCell ref="FEG3:FEL3"/>
    <mergeCell ref="FEM3:FER3"/>
    <mergeCell ref="FES3:FEX3"/>
    <mergeCell ref="FCE3:FCJ3"/>
    <mergeCell ref="FCK3:FCP3"/>
    <mergeCell ref="FCQ3:FCV3"/>
    <mergeCell ref="FCW3:FDB3"/>
    <mergeCell ref="FDC3:FDH3"/>
    <mergeCell ref="FDI3:FDN3"/>
    <mergeCell ref="FAU3:FAZ3"/>
    <mergeCell ref="FBA3:FBF3"/>
    <mergeCell ref="FBG3:FBL3"/>
    <mergeCell ref="FBM3:FBR3"/>
    <mergeCell ref="FBS3:FBX3"/>
    <mergeCell ref="FBY3:FCD3"/>
    <mergeCell ref="EZK3:EZP3"/>
    <mergeCell ref="EZQ3:EZV3"/>
    <mergeCell ref="EZW3:FAB3"/>
    <mergeCell ref="FAC3:FAH3"/>
    <mergeCell ref="FAI3:FAN3"/>
    <mergeCell ref="FAO3:FAT3"/>
    <mergeCell ref="EYA3:EYF3"/>
    <mergeCell ref="EYG3:EYL3"/>
    <mergeCell ref="EYM3:EYR3"/>
    <mergeCell ref="EYS3:EYX3"/>
    <mergeCell ref="EYY3:EZD3"/>
    <mergeCell ref="EZE3:EZJ3"/>
    <mergeCell ref="EWQ3:EWV3"/>
    <mergeCell ref="EWW3:EXB3"/>
    <mergeCell ref="EXC3:EXH3"/>
    <mergeCell ref="EXI3:EXN3"/>
    <mergeCell ref="EXO3:EXT3"/>
    <mergeCell ref="EXU3:EXZ3"/>
    <mergeCell ref="EVG3:EVL3"/>
    <mergeCell ref="EVM3:EVR3"/>
    <mergeCell ref="EVS3:EVX3"/>
    <mergeCell ref="EVY3:EWD3"/>
    <mergeCell ref="EWE3:EWJ3"/>
    <mergeCell ref="EWK3:EWP3"/>
    <mergeCell ref="ETW3:EUB3"/>
    <mergeCell ref="EUC3:EUH3"/>
    <mergeCell ref="EUI3:EUN3"/>
    <mergeCell ref="EUO3:EUT3"/>
    <mergeCell ref="EUU3:EUZ3"/>
    <mergeCell ref="EVA3:EVF3"/>
    <mergeCell ref="ESM3:ESR3"/>
    <mergeCell ref="ESS3:ESX3"/>
    <mergeCell ref="ESY3:ETD3"/>
    <mergeCell ref="ETE3:ETJ3"/>
    <mergeCell ref="ETK3:ETP3"/>
    <mergeCell ref="ETQ3:ETV3"/>
    <mergeCell ref="ERC3:ERH3"/>
    <mergeCell ref="ERI3:ERN3"/>
    <mergeCell ref="ERO3:ERT3"/>
    <mergeCell ref="ERU3:ERZ3"/>
    <mergeCell ref="ESA3:ESF3"/>
    <mergeCell ref="ESG3:ESL3"/>
    <mergeCell ref="EPS3:EPX3"/>
    <mergeCell ref="EPY3:EQD3"/>
    <mergeCell ref="EQE3:EQJ3"/>
    <mergeCell ref="EQK3:EQP3"/>
    <mergeCell ref="EQQ3:EQV3"/>
    <mergeCell ref="EQW3:ERB3"/>
    <mergeCell ref="EOI3:EON3"/>
    <mergeCell ref="EOO3:EOT3"/>
    <mergeCell ref="EOU3:EOZ3"/>
    <mergeCell ref="EPA3:EPF3"/>
    <mergeCell ref="EPG3:EPL3"/>
    <mergeCell ref="EPM3:EPR3"/>
    <mergeCell ref="EMY3:END3"/>
    <mergeCell ref="ENE3:ENJ3"/>
    <mergeCell ref="ENK3:ENP3"/>
    <mergeCell ref="ENQ3:ENV3"/>
    <mergeCell ref="ENW3:EOB3"/>
    <mergeCell ref="EOC3:EOH3"/>
    <mergeCell ref="ELO3:ELT3"/>
    <mergeCell ref="ELU3:ELZ3"/>
    <mergeCell ref="EMA3:EMF3"/>
    <mergeCell ref="EMG3:EML3"/>
    <mergeCell ref="EMM3:EMR3"/>
    <mergeCell ref="EMS3:EMX3"/>
    <mergeCell ref="EKE3:EKJ3"/>
    <mergeCell ref="EKK3:EKP3"/>
    <mergeCell ref="EKQ3:EKV3"/>
    <mergeCell ref="EKW3:ELB3"/>
    <mergeCell ref="ELC3:ELH3"/>
    <mergeCell ref="ELI3:ELN3"/>
    <mergeCell ref="EIU3:EIZ3"/>
    <mergeCell ref="EJA3:EJF3"/>
    <mergeCell ref="EJG3:EJL3"/>
    <mergeCell ref="EJM3:EJR3"/>
    <mergeCell ref="EJS3:EJX3"/>
    <mergeCell ref="EJY3:EKD3"/>
    <mergeCell ref="EHK3:EHP3"/>
    <mergeCell ref="EHQ3:EHV3"/>
    <mergeCell ref="EHW3:EIB3"/>
    <mergeCell ref="EIC3:EIH3"/>
    <mergeCell ref="EII3:EIN3"/>
    <mergeCell ref="EIO3:EIT3"/>
    <mergeCell ref="EGA3:EGF3"/>
    <mergeCell ref="EGG3:EGL3"/>
    <mergeCell ref="EGM3:EGR3"/>
    <mergeCell ref="EGS3:EGX3"/>
    <mergeCell ref="EGY3:EHD3"/>
    <mergeCell ref="EHE3:EHJ3"/>
    <mergeCell ref="EEQ3:EEV3"/>
    <mergeCell ref="EEW3:EFB3"/>
    <mergeCell ref="EFC3:EFH3"/>
    <mergeCell ref="EFI3:EFN3"/>
    <mergeCell ref="EFO3:EFT3"/>
    <mergeCell ref="EFU3:EFZ3"/>
    <mergeCell ref="EDG3:EDL3"/>
    <mergeCell ref="EDM3:EDR3"/>
    <mergeCell ref="EDS3:EDX3"/>
    <mergeCell ref="EDY3:EED3"/>
    <mergeCell ref="EEE3:EEJ3"/>
    <mergeCell ref="EEK3:EEP3"/>
    <mergeCell ref="EBW3:ECB3"/>
    <mergeCell ref="ECC3:ECH3"/>
    <mergeCell ref="ECI3:ECN3"/>
    <mergeCell ref="ECO3:ECT3"/>
    <mergeCell ref="ECU3:ECZ3"/>
    <mergeCell ref="EDA3:EDF3"/>
    <mergeCell ref="EAM3:EAR3"/>
    <mergeCell ref="EAS3:EAX3"/>
    <mergeCell ref="EAY3:EBD3"/>
    <mergeCell ref="EBE3:EBJ3"/>
    <mergeCell ref="EBK3:EBP3"/>
    <mergeCell ref="EBQ3:EBV3"/>
    <mergeCell ref="DZC3:DZH3"/>
    <mergeCell ref="DZI3:DZN3"/>
    <mergeCell ref="DZO3:DZT3"/>
    <mergeCell ref="DZU3:DZZ3"/>
    <mergeCell ref="EAA3:EAF3"/>
    <mergeCell ref="EAG3:EAL3"/>
    <mergeCell ref="DXS3:DXX3"/>
    <mergeCell ref="DXY3:DYD3"/>
    <mergeCell ref="DYE3:DYJ3"/>
    <mergeCell ref="DYK3:DYP3"/>
    <mergeCell ref="DYQ3:DYV3"/>
    <mergeCell ref="DYW3:DZB3"/>
    <mergeCell ref="DWI3:DWN3"/>
    <mergeCell ref="DWO3:DWT3"/>
    <mergeCell ref="DWU3:DWZ3"/>
    <mergeCell ref="DXA3:DXF3"/>
    <mergeCell ref="DXG3:DXL3"/>
    <mergeCell ref="DXM3:DXR3"/>
    <mergeCell ref="DUY3:DVD3"/>
    <mergeCell ref="DVE3:DVJ3"/>
    <mergeCell ref="DVK3:DVP3"/>
    <mergeCell ref="DVQ3:DVV3"/>
    <mergeCell ref="DVW3:DWB3"/>
    <mergeCell ref="DWC3:DWH3"/>
    <mergeCell ref="DTO3:DTT3"/>
    <mergeCell ref="DTU3:DTZ3"/>
    <mergeCell ref="DUA3:DUF3"/>
    <mergeCell ref="DUG3:DUL3"/>
    <mergeCell ref="DUM3:DUR3"/>
    <mergeCell ref="DUS3:DUX3"/>
    <mergeCell ref="DSE3:DSJ3"/>
    <mergeCell ref="DSK3:DSP3"/>
    <mergeCell ref="DSQ3:DSV3"/>
    <mergeCell ref="DSW3:DTB3"/>
    <mergeCell ref="DTC3:DTH3"/>
    <mergeCell ref="DTI3:DTN3"/>
    <mergeCell ref="DQU3:DQZ3"/>
    <mergeCell ref="DRA3:DRF3"/>
    <mergeCell ref="DRG3:DRL3"/>
    <mergeCell ref="DRM3:DRR3"/>
    <mergeCell ref="DRS3:DRX3"/>
    <mergeCell ref="DRY3:DSD3"/>
    <mergeCell ref="DPK3:DPP3"/>
    <mergeCell ref="DPQ3:DPV3"/>
    <mergeCell ref="DPW3:DQB3"/>
    <mergeCell ref="DQC3:DQH3"/>
    <mergeCell ref="DQI3:DQN3"/>
    <mergeCell ref="DQO3:DQT3"/>
    <mergeCell ref="DOA3:DOF3"/>
    <mergeCell ref="DOG3:DOL3"/>
    <mergeCell ref="DOM3:DOR3"/>
    <mergeCell ref="DOS3:DOX3"/>
    <mergeCell ref="DOY3:DPD3"/>
    <mergeCell ref="DPE3:DPJ3"/>
    <mergeCell ref="DMQ3:DMV3"/>
    <mergeCell ref="DMW3:DNB3"/>
    <mergeCell ref="DNC3:DNH3"/>
    <mergeCell ref="DNI3:DNN3"/>
    <mergeCell ref="DNO3:DNT3"/>
    <mergeCell ref="DNU3:DNZ3"/>
    <mergeCell ref="DLG3:DLL3"/>
    <mergeCell ref="DLM3:DLR3"/>
    <mergeCell ref="DLS3:DLX3"/>
    <mergeCell ref="DLY3:DMD3"/>
    <mergeCell ref="DME3:DMJ3"/>
    <mergeCell ref="DMK3:DMP3"/>
    <mergeCell ref="DJW3:DKB3"/>
    <mergeCell ref="DKC3:DKH3"/>
    <mergeCell ref="DKI3:DKN3"/>
    <mergeCell ref="DKO3:DKT3"/>
    <mergeCell ref="DKU3:DKZ3"/>
    <mergeCell ref="DLA3:DLF3"/>
    <mergeCell ref="DIM3:DIR3"/>
    <mergeCell ref="DIS3:DIX3"/>
    <mergeCell ref="DIY3:DJD3"/>
    <mergeCell ref="DJE3:DJJ3"/>
    <mergeCell ref="DJK3:DJP3"/>
    <mergeCell ref="DJQ3:DJV3"/>
    <mergeCell ref="DHC3:DHH3"/>
    <mergeCell ref="DHI3:DHN3"/>
    <mergeCell ref="DHO3:DHT3"/>
    <mergeCell ref="DHU3:DHZ3"/>
    <mergeCell ref="DIA3:DIF3"/>
    <mergeCell ref="DIG3:DIL3"/>
    <mergeCell ref="DFS3:DFX3"/>
    <mergeCell ref="DFY3:DGD3"/>
    <mergeCell ref="DGE3:DGJ3"/>
    <mergeCell ref="DGK3:DGP3"/>
    <mergeCell ref="DGQ3:DGV3"/>
    <mergeCell ref="DGW3:DHB3"/>
    <mergeCell ref="DEI3:DEN3"/>
    <mergeCell ref="DEO3:DET3"/>
    <mergeCell ref="DEU3:DEZ3"/>
    <mergeCell ref="DFA3:DFF3"/>
    <mergeCell ref="DFG3:DFL3"/>
    <mergeCell ref="DFM3:DFR3"/>
    <mergeCell ref="DCY3:DDD3"/>
    <mergeCell ref="DDE3:DDJ3"/>
    <mergeCell ref="DDK3:DDP3"/>
    <mergeCell ref="DDQ3:DDV3"/>
    <mergeCell ref="DDW3:DEB3"/>
    <mergeCell ref="DEC3:DEH3"/>
    <mergeCell ref="DBO3:DBT3"/>
    <mergeCell ref="DBU3:DBZ3"/>
    <mergeCell ref="DCA3:DCF3"/>
    <mergeCell ref="DCG3:DCL3"/>
    <mergeCell ref="DCM3:DCR3"/>
    <mergeCell ref="DCS3:DCX3"/>
    <mergeCell ref="DAE3:DAJ3"/>
    <mergeCell ref="DAK3:DAP3"/>
    <mergeCell ref="DAQ3:DAV3"/>
    <mergeCell ref="DAW3:DBB3"/>
    <mergeCell ref="DBC3:DBH3"/>
    <mergeCell ref="DBI3:DBN3"/>
    <mergeCell ref="CYU3:CYZ3"/>
    <mergeCell ref="CZA3:CZF3"/>
    <mergeCell ref="CZG3:CZL3"/>
    <mergeCell ref="CZM3:CZR3"/>
    <mergeCell ref="CZS3:CZX3"/>
    <mergeCell ref="CZY3:DAD3"/>
    <mergeCell ref="CXK3:CXP3"/>
    <mergeCell ref="CXQ3:CXV3"/>
    <mergeCell ref="CXW3:CYB3"/>
    <mergeCell ref="CYC3:CYH3"/>
    <mergeCell ref="CYI3:CYN3"/>
    <mergeCell ref="CYO3:CYT3"/>
    <mergeCell ref="CWA3:CWF3"/>
    <mergeCell ref="CWG3:CWL3"/>
    <mergeCell ref="CWM3:CWR3"/>
    <mergeCell ref="CWS3:CWX3"/>
    <mergeCell ref="CWY3:CXD3"/>
    <mergeCell ref="CXE3:CXJ3"/>
    <mergeCell ref="CUQ3:CUV3"/>
    <mergeCell ref="CUW3:CVB3"/>
    <mergeCell ref="CVC3:CVH3"/>
    <mergeCell ref="CVI3:CVN3"/>
    <mergeCell ref="CVO3:CVT3"/>
    <mergeCell ref="CVU3:CVZ3"/>
    <mergeCell ref="CTG3:CTL3"/>
    <mergeCell ref="CTM3:CTR3"/>
    <mergeCell ref="CTS3:CTX3"/>
    <mergeCell ref="CTY3:CUD3"/>
    <mergeCell ref="CUE3:CUJ3"/>
    <mergeCell ref="CUK3:CUP3"/>
    <mergeCell ref="CRW3:CSB3"/>
    <mergeCell ref="CSC3:CSH3"/>
    <mergeCell ref="CSI3:CSN3"/>
    <mergeCell ref="CSO3:CST3"/>
    <mergeCell ref="CSU3:CSZ3"/>
    <mergeCell ref="CTA3:CTF3"/>
    <mergeCell ref="CQM3:CQR3"/>
    <mergeCell ref="CQS3:CQX3"/>
    <mergeCell ref="CQY3:CRD3"/>
    <mergeCell ref="CRE3:CRJ3"/>
    <mergeCell ref="CRK3:CRP3"/>
    <mergeCell ref="CRQ3:CRV3"/>
    <mergeCell ref="CPC3:CPH3"/>
    <mergeCell ref="CPI3:CPN3"/>
    <mergeCell ref="CPO3:CPT3"/>
    <mergeCell ref="CPU3:CPZ3"/>
    <mergeCell ref="CQA3:CQF3"/>
    <mergeCell ref="CQG3:CQL3"/>
    <mergeCell ref="CNS3:CNX3"/>
    <mergeCell ref="CNY3:COD3"/>
    <mergeCell ref="COE3:COJ3"/>
    <mergeCell ref="COK3:COP3"/>
    <mergeCell ref="COQ3:COV3"/>
    <mergeCell ref="COW3:CPB3"/>
    <mergeCell ref="CMI3:CMN3"/>
    <mergeCell ref="CMO3:CMT3"/>
    <mergeCell ref="CMU3:CMZ3"/>
    <mergeCell ref="CNA3:CNF3"/>
    <mergeCell ref="CNG3:CNL3"/>
    <mergeCell ref="CNM3:CNR3"/>
    <mergeCell ref="CKY3:CLD3"/>
    <mergeCell ref="CLE3:CLJ3"/>
    <mergeCell ref="CLK3:CLP3"/>
    <mergeCell ref="CLQ3:CLV3"/>
    <mergeCell ref="CLW3:CMB3"/>
    <mergeCell ref="CMC3:CMH3"/>
    <mergeCell ref="CJO3:CJT3"/>
    <mergeCell ref="CJU3:CJZ3"/>
    <mergeCell ref="CKA3:CKF3"/>
    <mergeCell ref="CKG3:CKL3"/>
    <mergeCell ref="CKM3:CKR3"/>
    <mergeCell ref="CKS3:CKX3"/>
    <mergeCell ref="CIE3:CIJ3"/>
    <mergeCell ref="CIK3:CIP3"/>
    <mergeCell ref="CIQ3:CIV3"/>
    <mergeCell ref="CIW3:CJB3"/>
    <mergeCell ref="CJC3:CJH3"/>
    <mergeCell ref="CJI3:CJN3"/>
    <mergeCell ref="CGU3:CGZ3"/>
    <mergeCell ref="CHA3:CHF3"/>
    <mergeCell ref="CHG3:CHL3"/>
    <mergeCell ref="CHM3:CHR3"/>
    <mergeCell ref="CHS3:CHX3"/>
    <mergeCell ref="CHY3:CID3"/>
    <mergeCell ref="CFK3:CFP3"/>
    <mergeCell ref="CFQ3:CFV3"/>
    <mergeCell ref="CFW3:CGB3"/>
    <mergeCell ref="CGC3:CGH3"/>
    <mergeCell ref="CGI3:CGN3"/>
    <mergeCell ref="CGO3:CGT3"/>
    <mergeCell ref="CEA3:CEF3"/>
    <mergeCell ref="CEG3:CEL3"/>
    <mergeCell ref="CEM3:CER3"/>
    <mergeCell ref="CES3:CEX3"/>
    <mergeCell ref="CEY3:CFD3"/>
    <mergeCell ref="CFE3:CFJ3"/>
    <mergeCell ref="CCQ3:CCV3"/>
    <mergeCell ref="CCW3:CDB3"/>
    <mergeCell ref="CDC3:CDH3"/>
    <mergeCell ref="CDI3:CDN3"/>
    <mergeCell ref="CDO3:CDT3"/>
    <mergeCell ref="CDU3:CDZ3"/>
    <mergeCell ref="CBG3:CBL3"/>
    <mergeCell ref="CBM3:CBR3"/>
    <mergeCell ref="CBS3:CBX3"/>
    <mergeCell ref="CBY3:CCD3"/>
    <mergeCell ref="CCE3:CCJ3"/>
    <mergeCell ref="CCK3:CCP3"/>
    <mergeCell ref="BZW3:CAB3"/>
    <mergeCell ref="CAC3:CAH3"/>
    <mergeCell ref="CAI3:CAN3"/>
    <mergeCell ref="CAO3:CAT3"/>
    <mergeCell ref="CAU3:CAZ3"/>
    <mergeCell ref="CBA3:CBF3"/>
    <mergeCell ref="BYM3:BYR3"/>
    <mergeCell ref="BYS3:BYX3"/>
    <mergeCell ref="BYY3:BZD3"/>
    <mergeCell ref="BZE3:BZJ3"/>
    <mergeCell ref="BZK3:BZP3"/>
    <mergeCell ref="BZQ3:BZV3"/>
    <mergeCell ref="BXC3:BXH3"/>
    <mergeCell ref="BXI3:BXN3"/>
    <mergeCell ref="BXO3:BXT3"/>
    <mergeCell ref="BXU3:BXZ3"/>
    <mergeCell ref="BYA3:BYF3"/>
    <mergeCell ref="BYG3:BYL3"/>
    <mergeCell ref="BVS3:BVX3"/>
    <mergeCell ref="BVY3:BWD3"/>
    <mergeCell ref="BWE3:BWJ3"/>
    <mergeCell ref="BWK3:BWP3"/>
    <mergeCell ref="BWQ3:BWV3"/>
    <mergeCell ref="BWW3:BXB3"/>
    <mergeCell ref="BUI3:BUN3"/>
    <mergeCell ref="BUO3:BUT3"/>
    <mergeCell ref="BUU3:BUZ3"/>
    <mergeCell ref="BVA3:BVF3"/>
    <mergeCell ref="BVG3:BVL3"/>
    <mergeCell ref="BVM3:BVR3"/>
    <mergeCell ref="BSY3:BTD3"/>
    <mergeCell ref="BTE3:BTJ3"/>
    <mergeCell ref="BTK3:BTP3"/>
    <mergeCell ref="BTQ3:BTV3"/>
    <mergeCell ref="BTW3:BUB3"/>
    <mergeCell ref="BUC3:BUH3"/>
    <mergeCell ref="BRO3:BRT3"/>
    <mergeCell ref="BRU3:BRZ3"/>
    <mergeCell ref="BSA3:BSF3"/>
    <mergeCell ref="BSG3:BSL3"/>
    <mergeCell ref="BSM3:BSR3"/>
    <mergeCell ref="BSS3:BSX3"/>
    <mergeCell ref="BQE3:BQJ3"/>
    <mergeCell ref="BQK3:BQP3"/>
    <mergeCell ref="BQQ3:BQV3"/>
    <mergeCell ref="BQW3:BRB3"/>
    <mergeCell ref="BRC3:BRH3"/>
    <mergeCell ref="BRI3:BRN3"/>
    <mergeCell ref="BOU3:BOZ3"/>
    <mergeCell ref="BPA3:BPF3"/>
    <mergeCell ref="BPG3:BPL3"/>
    <mergeCell ref="BPM3:BPR3"/>
    <mergeCell ref="BPS3:BPX3"/>
    <mergeCell ref="BPY3:BQD3"/>
    <mergeCell ref="BNK3:BNP3"/>
    <mergeCell ref="BNQ3:BNV3"/>
    <mergeCell ref="BNW3:BOB3"/>
    <mergeCell ref="BOC3:BOH3"/>
    <mergeCell ref="BOI3:BON3"/>
    <mergeCell ref="BOO3:BOT3"/>
    <mergeCell ref="BMA3:BMF3"/>
    <mergeCell ref="BMG3:BML3"/>
    <mergeCell ref="BMM3:BMR3"/>
    <mergeCell ref="BMS3:BMX3"/>
    <mergeCell ref="BMY3:BND3"/>
    <mergeCell ref="BNE3:BNJ3"/>
    <mergeCell ref="BKQ3:BKV3"/>
    <mergeCell ref="BKW3:BLB3"/>
    <mergeCell ref="BLC3:BLH3"/>
    <mergeCell ref="BLI3:BLN3"/>
    <mergeCell ref="BLO3:BLT3"/>
    <mergeCell ref="BLU3:BLZ3"/>
    <mergeCell ref="BJG3:BJL3"/>
    <mergeCell ref="BJM3:BJR3"/>
    <mergeCell ref="BJS3:BJX3"/>
    <mergeCell ref="BJY3:BKD3"/>
    <mergeCell ref="BKE3:BKJ3"/>
    <mergeCell ref="BKK3:BKP3"/>
    <mergeCell ref="BHW3:BIB3"/>
    <mergeCell ref="BIC3:BIH3"/>
    <mergeCell ref="BII3:BIN3"/>
    <mergeCell ref="BIO3:BIT3"/>
    <mergeCell ref="BIU3:BIZ3"/>
    <mergeCell ref="BJA3:BJF3"/>
    <mergeCell ref="BGM3:BGR3"/>
    <mergeCell ref="BGS3:BGX3"/>
    <mergeCell ref="BGY3:BHD3"/>
    <mergeCell ref="BHE3:BHJ3"/>
    <mergeCell ref="BHK3:BHP3"/>
    <mergeCell ref="BHQ3:BHV3"/>
    <mergeCell ref="BFC3:BFH3"/>
    <mergeCell ref="BFI3:BFN3"/>
    <mergeCell ref="BFO3:BFT3"/>
    <mergeCell ref="BFU3:BFZ3"/>
    <mergeCell ref="BGA3:BGF3"/>
    <mergeCell ref="BGG3:BGL3"/>
    <mergeCell ref="BDS3:BDX3"/>
    <mergeCell ref="BDY3:BED3"/>
    <mergeCell ref="BEE3:BEJ3"/>
    <mergeCell ref="BEK3:BEP3"/>
    <mergeCell ref="BEQ3:BEV3"/>
    <mergeCell ref="BEW3:BFB3"/>
    <mergeCell ref="BCI3:BCN3"/>
    <mergeCell ref="BCO3:BCT3"/>
    <mergeCell ref="BCU3:BCZ3"/>
    <mergeCell ref="BDA3:BDF3"/>
    <mergeCell ref="BDG3:BDL3"/>
    <mergeCell ref="BDM3:BDR3"/>
    <mergeCell ref="BAY3:BBD3"/>
    <mergeCell ref="BBE3:BBJ3"/>
    <mergeCell ref="BBK3:BBP3"/>
    <mergeCell ref="BBQ3:BBV3"/>
    <mergeCell ref="BBW3:BCB3"/>
    <mergeCell ref="BCC3:BCH3"/>
    <mergeCell ref="AZO3:AZT3"/>
    <mergeCell ref="AZU3:AZZ3"/>
    <mergeCell ref="BAA3:BAF3"/>
    <mergeCell ref="BAG3:BAL3"/>
    <mergeCell ref="BAM3:BAR3"/>
    <mergeCell ref="BAS3:BAX3"/>
    <mergeCell ref="AYE3:AYJ3"/>
    <mergeCell ref="AYK3:AYP3"/>
    <mergeCell ref="AYQ3:AYV3"/>
    <mergeCell ref="AYW3:AZB3"/>
    <mergeCell ref="AZC3:AZH3"/>
    <mergeCell ref="AZI3:AZN3"/>
    <mergeCell ref="AWU3:AWZ3"/>
    <mergeCell ref="AXA3:AXF3"/>
    <mergeCell ref="AXG3:AXL3"/>
    <mergeCell ref="AXM3:AXR3"/>
    <mergeCell ref="AXS3:AXX3"/>
    <mergeCell ref="AXY3:AYD3"/>
    <mergeCell ref="AVK3:AVP3"/>
    <mergeCell ref="AVQ3:AVV3"/>
    <mergeCell ref="AVW3:AWB3"/>
    <mergeCell ref="AWC3:AWH3"/>
    <mergeCell ref="AWI3:AWN3"/>
    <mergeCell ref="AWO3:AWT3"/>
    <mergeCell ref="AUA3:AUF3"/>
    <mergeCell ref="AUG3:AUL3"/>
    <mergeCell ref="AUM3:AUR3"/>
    <mergeCell ref="AUS3:AUX3"/>
    <mergeCell ref="AUY3:AVD3"/>
    <mergeCell ref="AVE3:AVJ3"/>
    <mergeCell ref="ASQ3:ASV3"/>
    <mergeCell ref="ASW3:ATB3"/>
    <mergeCell ref="ATC3:ATH3"/>
    <mergeCell ref="ATI3:ATN3"/>
    <mergeCell ref="ATO3:ATT3"/>
    <mergeCell ref="ATU3:ATZ3"/>
    <mergeCell ref="ARG3:ARL3"/>
    <mergeCell ref="ARM3:ARR3"/>
    <mergeCell ref="ARS3:ARX3"/>
    <mergeCell ref="ARY3:ASD3"/>
    <mergeCell ref="ASE3:ASJ3"/>
    <mergeCell ref="ASK3:ASP3"/>
    <mergeCell ref="APW3:AQB3"/>
    <mergeCell ref="AQC3:AQH3"/>
    <mergeCell ref="AQI3:AQN3"/>
    <mergeCell ref="AQO3:AQT3"/>
    <mergeCell ref="AQU3:AQZ3"/>
    <mergeCell ref="ARA3:ARF3"/>
    <mergeCell ref="AOM3:AOR3"/>
    <mergeCell ref="AOS3:AOX3"/>
    <mergeCell ref="AOY3:APD3"/>
    <mergeCell ref="APE3:APJ3"/>
    <mergeCell ref="APK3:APP3"/>
    <mergeCell ref="APQ3:APV3"/>
    <mergeCell ref="ANC3:ANH3"/>
    <mergeCell ref="ANI3:ANN3"/>
    <mergeCell ref="ANO3:ANT3"/>
    <mergeCell ref="ANU3:ANZ3"/>
    <mergeCell ref="AOA3:AOF3"/>
    <mergeCell ref="AOG3:AOL3"/>
    <mergeCell ref="ALS3:ALX3"/>
    <mergeCell ref="ALY3:AMD3"/>
    <mergeCell ref="AME3:AMJ3"/>
    <mergeCell ref="AMK3:AMP3"/>
    <mergeCell ref="AMQ3:AMV3"/>
    <mergeCell ref="AMW3:ANB3"/>
    <mergeCell ref="AKI3:AKN3"/>
    <mergeCell ref="AKO3:AKT3"/>
    <mergeCell ref="AKU3:AKZ3"/>
    <mergeCell ref="ALA3:ALF3"/>
    <mergeCell ref="ALG3:ALL3"/>
    <mergeCell ref="ALM3:ALR3"/>
    <mergeCell ref="AIY3:AJD3"/>
    <mergeCell ref="AJE3:AJJ3"/>
    <mergeCell ref="AJK3:AJP3"/>
    <mergeCell ref="AJQ3:AJV3"/>
    <mergeCell ref="AJW3:AKB3"/>
    <mergeCell ref="AKC3:AKH3"/>
    <mergeCell ref="AHO3:AHT3"/>
    <mergeCell ref="AHU3:AHZ3"/>
    <mergeCell ref="AIA3:AIF3"/>
    <mergeCell ref="AIG3:AIL3"/>
    <mergeCell ref="AIM3:AIR3"/>
    <mergeCell ref="AIS3:AIX3"/>
    <mergeCell ref="AGE3:AGJ3"/>
    <mergeCell ref="AGK3:AGP3"/>
    <mergeCell ref="AGQ3:AGV3"/>
    <mergeCell ref="AGW3:AHB3"/>
    <mergeCell ref="AHC3:AHH3"/>
    <mergeCell ref="AHI3:AHN3"/>
    <mergeCell ref="AEU3:AEZ3"/>
    <mergeCell ref="AFA3:AFF3"/>
    <mergeCell ref="AFG3:AFL3"/>
    <mergeCell ref="AFM3:AFR3"/>
    <mergeCell ref="AFS3:AFX3"/>
    <mergeCell ref="AFY3:AGD3"/>
    <mergeCell ref="ADK3:ADP3"/>
    <mergeCell ref="ADQ3:ADV3"/>
    <mergeCell ref="ADW3:AEB3"/>
    <mergeCell ref="AEC3:AEH3"/>
    <mergeCell ref="AEI3:AEN3"/>
    <mergeCell ref="AEO3:AET3"/>
    <mergeCell ref="ACA3:ACF3"/>
    <mergeCell ref="ACG3:ACL3"/>
    <mergeCell ref="ACM3:ACR3"/>
    <mergeCell ref="ACS3:ACX3"/>
    <mergeCell ref="ACY3:ADD3"/>
    <mergeCell ref="ADE3:ADJ3"/>
    <mergeCell ref="AAQ3:AAV3"/>
    <mergeCell ref="AAW3:ABB3"/>
    <mergeCell ref="ABC3:ABH3"/>
    <mergeCell ref="ABI3:ABN3"/>
    <mergeCell ref="ABO3:ABT3"/>
    <mergeCell ref="ABU3:ABZ3"/>
    <mergeCell ref="ZG3:ZL3"/>
    <mergeCell ref="ZM3:ZR3"/>
    <mergeCell ref="ZS3:ZX3"/>
    <mergeCell ref="ZY3:AAD3"/>
    <mergeCell ref="AAE3:AAJ3"/>
    <mergeCell ref="AAK3:AAP3"/>
    <mergeCell ref="XW3:YB3"/>
    <mergeCell ref="YC3:YH3"/>
    <mergeCell ref="YI3:YN3"/>
    <mergeCell ref="YO3:YT3"/>
    <mergeCell ref="YU3:YZ3"/>
    <mergeCell ref="ZA3:ZF3"/>
    <mergeCell ref="WM3:WR3"/>
    <mergeCell ref="WS3:WX3"/>
    <mergeCell ref="WY3:XD3"/>
    <mergeCell ref="XE3:XJ3"/>
    <mergeCell ref="XK3:XP3"/>
    <mergeCell ref="XQ3:XV3"/>
    <mergeCell ref="VC3:VH3"/>
    <mergeCell ref="VI3:VN3"/>
    <mergeCell ref="VO3:VT3"/>
    <mergeCell ref="VU3:VZ3"/>
    <mergeCell ref="WA3:WF3"/>
    <mergeCell ref="WG3:WL3"/>
    <mergeCell ref="TS3:TX3"/>
    <mergeCell ref="TY3:UD3"/>
    <mergeCell ref="UE3:UJ3"/>
    <mergeCell ref="UK3:UP3"/>
    <mergeCell ref="UQ3:UV3"/>
    <mergeCell ref="UW3:VB3"/>
    <mergeCell ref="SI3:SN3"/>
    <mergeCell ref="SO3:ST3"/>
    <mergeCell ref="SU3:SZ3"/>
    <mergeCell ref="TA3:TF3"/>
    <mergeCell ref="TG3:TL3"/>
    <mergeCell ref="TM3:TR3"/>
    <mergeCell ref="QY3:RD3"/>
    <mergeCell ref="RE3:RJ3"/>
    <mergeCell ref="RK3:RP3"/>
    <mergeCell ref="RQ3:RV3"/>
    <mergeCell ref="RW3:SB3"/>
    <mergeCell ref="SC3:SH3"/>
    <mergeCell ref="PO3:PT3"/>
    <mergeCell ref="PU3:PZ3"/>
    <mergeCell ref="QA3:QF3"/>
    <mergeCell ref="QG3:QL3"/>
    <mergeCell ref="QM3:QR3"/>
    <mergeCell ref="QS3:QX3"/>
    <mergeCell ref="PI3:PN3"/>
    <mergeCell ref="MU3:MZ3"/>
    <mergeCell ref="NA3:NF3"/>
    <mergeCell ref="NG3:NL3"/>
    <mergeCell ref="NM3:NR3"/>
    <mergeCell ref="NS3:NX3"/>
    <mergeCell ref="NY3:OD3"/>
    <mergeCell ref="LK3:LP3"/>
    <mergeCell ref="LQ3:LV3"/>
    <mergeCell ref="LW3:MB3"/>
    <mergeCell ref="MC3:MH3"/>
    <mergeCell ref="MI3:MN3"/>
    <mergeCell ref="MO3:MT3"/>
    <mergeCell ref="KA3:KF3"/>
    <mergeCell ref="KG3:KL3"/>
    <mergeCell ref="KM3:KR3"/>
    <mergeCell ref="KS3:KX3"/>
    <mergeCell ref="KY3:LD3"/>
    <mergeCell ref="LE3:LJ3"/>
    <mergeCell ref="K3:P3"/>
    <mergeCell ref="Q3:V3"/>
    <mergeCell ref="W3:AB3"/>
    <mergeCell ref="AC3:AH3"/>
    <mergeCell ref="OE3:OJ3"/>
    <mergeCell ref="OK3:OP3"/>
    <mergeCell ref="OQ3:OV3"/>
    <mergeCell ref="OW3:PB3"/>
    <mergeCell ref="PC3:PH3"/>
    <mergeCell ref="IQ3:IV3"/>
    <mergeCell ref="IW3:JB3"/>
    <mergeCell ref="JC3:JH3"/>
    <mergeCell ref="JI3:JN3"/>
    <mergeCell ref="CW3:DB3"/>
    <mergeCell ref="AI3:AN3"/>
    <mergeCell ref="AO3:AT3"/>
    <mergeCell ref="AU3:AZ3"/>
    <mergeCell ref="BA3:BF3"/>
    <mergeCell ref="BG3:BL3"/>
    <mergeCell ref="BM3:BR3"/>
    <mergeCell ref="E3:J3"/>
    <mergeCell ref="JO3:JT3"/>
    <mergeCell ref="JU3:JZ3"/>
    <mergeCell ref="HG3:HL3"/>
    <mergeCell ref="HM3:HR3"/>
    <mergeCell ref="HS3:HX3"/>
    <mergeCell ref="HY3:ID3"/>
    <mergeCell ref="IE3:IJ3"/>
    <mergeCell ref="IK3:IP3"/>
    <mergeCell ref="FW3:GB3"/>
    <mergeCell ref="GC3:GH3"/>
    <mergeCell ref="GI3:GN3"/>
    <mergeCell ref="GO3:GT3"/>
    <mergeCell ref="GU3:GZ3"/>
    <mergeCell ref="HA3:HF3"/>
    <mergeCell ref="EM3:ER3"/>
    <mergeCell ref="ES3:EX3"/>
    <mergeCell ref="EY3:FD3"/>
    <mergeCell ref="FE3:FJ3"/>
    <mergeCell ref="FK3:FP3"/>
    <mergeCell ref="FQ3:FV3"/>
    <mergeCell ref="DC3:DH3"/>
    <mergeCell ref="DI3:DN3"/>
    <mergeCell ref="DO3:DT3"/>
    <mergeCell ref="DU3:DZ3"/>
    <mergeCell ref="EA3:EF3"/>
    <mergeCell ref="EG3:EL3"/>
    <mergeCell ref="BS3:BX3"/>
    <mergeCell ref="BY3:CD3"/>
    <mergeCell ref="CE3:CJ3"/>
    <mergeCell ref="CK3:CP3"/>
    <mergeCell ref="CQ3:CV3"/>
  </mergeCells>
  <hyperlinks>
    <hyperlink ref="C2" location="BG!A1" display="BG" xr:uid="{00000000-0004-0000-0F00-000000000000}"/>
    <hyperlink ref="B1" location="BG!A1" display="BG" xr:uid="{700E0EAA-BD1C-4FEC-9D7C-532E55C099AD}"/>
  </hyperlinks>
  <pageMargins left="0.7" right="0.7" top="0.75" bottom="0.75" header="0.3" footer="0.3"/>
  <ignoredErrors>
    <ignoredError sqref="C6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AD66"/>
  <sheetViews>
    <sheetView showGridLines="0" workbookViewId="0">
      <selection activeCell="G8" sqref="A7:G8"/>
    </sheetView>
  </sheetViews>
  <sheetFormatPr baseColWidth="10" defaultColWidth="11.42578125" defaultRowHeight="12"/>
  <cols>
    <col min="1" max="1" width="34.28515625" style="6" customWidth="1"/>
    <col min="2" max="2" width="16.140625" style="98" customWidth="1"/>
    <col min="3" max="3" width="18.28515625" style="98" customWidth="1"/>
    <col min="4" max="6" width="11.42578125" style="6"/>
    <col min="7" max="30" width="11.42578125" style="94"/>
    <col min="31" max="16384" width="11.42578125" style="6"/>
  </cols>
  <sheetData>
    <row r="1" spans="1:6">
      <c r="A1" s="217" t="str">
        <f>Indice!C1</f>
        <v>NICOLAS GONZALEZ ODDONE S.A.E.C.A</v>
      </c>
      <c r="B1" s="95"/>
      <c r="C1" s="227" t="s">
        <v>18</v>
      </c>
      <c r="D1" s="97"/>
      <c r="E1" s="94"/>
      <c r="F1" s="94"/>
    </row>
    <row r="2" spans="1:6">
      <c r="A2" s="94"/>
      <c r="B2" s="95"/>
      <c r="C2" s="95"/>
      <c r="D2" s="94"/>
      <c r="E2" s="94"/>
      <c r="F2" s="94"/>
    </row>
    <row r="3" spans="1:6">
      <c r="A3" s="94"/>
      <c r="B3" s="95"/>
      <c r="C3" s="95"/>
      <c r="D3" s="94"/>
      <c r="E3" s="94"/>
      <c r="F3" s="94"/>
    </row>
    <row r="4" spans="1:6">
      <c r="A4" s="957" t="s">
        <v>599</v>
      </c>
      <c r="B4" s="957"/>
      <c r="C4" s="957"/>
      <c r="D4" s="94"/>
      <c r="E4" s="94"/>
      <c r="F4" s="94"/>
    </row>
    <row r="5" spans="1:6">
      <c r="A5" s="995" t="s">
        <v>344</v>
      </c>
      <c r="B5" s="995"/>
      <c r="C5" s="95"/>
      <c r="D5" s="94"/>
      <c r="E5" s="94"/>
      <c r="F5" s="94"/>
    </row>
    <row r="6" spans="1:6">
      <c r="A6" s="149"/>
      <c r="B6" s="149"/>
      <c r="C6" s="95"/>
      <c r="D6" s="94"/>
      <c r="E6" s="94"/>
      <c r="F6" s="94"/>
    </row>
    <row r="7" spans="1:6">
      <c r="A7" s="228"/>
      <c r="B7" s="6"/>
      <c r="F7" s="94"/>
    </row>
    <row r="8" spans="1:6">
      <c r="B8" s="6"/>
      <c r="F8" s="94"/>
    </row>
    <row r="9" spans="1:6" ht="13.5">
      <c r="A9" s="155"/>
      <c r="B9" s="155"/>
      <c r="C9" s="156"/>
      <c r="D9" s="155"/>
      <c r="E9" s="155"/>
      <c r="F9" s="94"/>
    </row>
    <row r="10" spans="1:6">
      <c r="A10" s="404" t="s">
        <v>345</v>
      </c>
      <c r="B10" s="220">
        <v>43921</v>
      </c>
      <c r="C10" s="220">
        <v>43830</v>
      </c>
      <c r="D10" s="94"/>
      <c r="E10" s="94"/>
      <c r="F10" s="94"/>
    </row>
    <row r="11" spans="1:6">
      <c r="A11" s="94" t="s">
        <v>355</v>
      </c>
      <c r="B11" s="95">
        <v>13354381956</v>
      </c>
      <c r="C11" s="95">
        <v>10266827892</v>
      </c>
      <c r="D11" s="94"/>
      <c r="E11" s="94"/>
      <c r="F11" s="94"/>
    </row>
    <row r="12" spans="1:6">
      <c r="A12" s="94" t="s">
        <v>600</v>
      </c>
      <c r="B12" s="95">
        <v>30921600000</v>
      </c>
      <c r="C12" s="95">
        <v>31459200000</v>
      </c>
      <c r="D12" s="94"/>
      <c r="E12" s="94"/>
      <c r="F12" s="94"/>
    </row>
    <row r="13" spans="1:6">
      <c r="A13" s="94" t="s">
        <v>357</v>
      </c>
      <c r="B13" s="95">
        <v>0</v>
      </c>
      <c r="C13" s="95">
        <v>3560595316</v>
      </c>
      <c r="D13" s="94"/>
      <c r="E13" s="94"/>
      <c r="F13" s="94"/>
    </row>
    <row r="14" spans="1:6" ht="12.75" thickBot="1">
      <c r="A14" s="93" t="s">
        <v>166</v>
      </c>
      <c r="B14" s="896">
        <f>SUM($B$11:B13)</f>
        <v>44275981956</v>
      </c>
      <c r="C14" s="896">
        <f>SUM($C$11:C13)</f>
        <v>45286623208</v>
      </c>
      <c r="D14" s="94"/>
      <c r="E14" s="94"/>
      <c r="F14" s="94"/>
    </row>
    <row r="15" spans="1:6" ht="12.75" thickTop="1">
      <c r="A15" s="94"/>
      <c r="B15" s="95"/>
      <c r="C15" s="95"/>
      <c r="D15" s="94"/>
      <c r="E15" s="94"/>
      <c r="F15" s="94"/>
    </row>
    <row r="16" spans="1:6">
      <c r="A16" s="94"/>
      <c r="B16" s="95"/>
      <c r="C16" s="95"/>
      <c r="D16" s="94"/>
      <c r="E16" s="94"/>
      <c r="F16" s="94"/>
    </row>
    <row r="17" spans="1:6">
      <c r="A17" s="94"/>
      <c r="B17" s="95"/>
      <c r="C17" s="95"/>
      <c r="D17" s="94"/>
      <c r="E17" s="94"/>
      <c r="F17" s="94"/>
    </row>
    <row r="18" spans="1:6">
      <c r="A18" s="94"/>
      <c r="B18" s="95"/>
      <c r="C18" s="95"/>
      <c r="D18" s="94"/>
      <c r="E18" s="94"/>
      <c r="F18" s="94"/>
    </row>
    <row r="19" spans="1:6">
      <c r="A19" s="94"/>
      <c r="B19" s="95"/>
      <c r="C19" s="95"/>
      <c r="D19" s="94"/>
      <c r="E19" s="94"/>
      <c r="F19" s="94"/>
    </row>
    <row r="20" spans="1:6">
      <c r="A20" s="94"/>
      <c r="B20" s="95"/>
      <c r="C20" s="95"/>
      <c r="D20" s="94"/>
      <c r="E20" s="94"/>
      <c r="F20" s="94"/>
    </row>
    <row r="21" spans="1:6">
      <c r="A21" s="94"/>
      <c r="B21" s="95"/>
      <c r="C21" s="95"/>
      <c r="D21" s="94"/>
      <c r="E21" s="94"/>
      <c r="F21" s="94"/>
    </row>
    <row r="22" spans="1:6">
      <c r="A22" s="94"/>
      <c r="B22" s="95"/>
      <c r="C22" s="95"/>
      <c r="D22" s="94"/>
      <c r="E22" s="94"/>
      <c r="F22" s="94"/>
    </row>
    <row r="23" spans="1:6">
      <c r="A23" s="94"/>
      <c r="B23" s="95"/>
      <c r="C23" s="95"/>
      <c r="D23" s="94"/>
      <c r="E23" s="94"/>
      <c r="F23" s="94"/>
    </row>
    <row r="24" spans="1:6">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sheetData>
  <mergeCells count="2">
    <mergeCell ref="A4:C4"/>
    <mergeCell ref="A5:B5"/>
  </mergeCells>
  <hyperlinks>
    <hyperlink ref="C1" location="BG!A1" display="BG" xr:uid="{00000000-0004-0000-1000-000000000000}"/>
  </hyperlink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S36"/>
  <sheetViews>
    <sheetView showGridLines="0" workbookViewId="0">
      <selection activeCell="B1" sqref="B1"/>
    </sheetView>
  </sheetViews>
  <sheetFormatPr baseColWidth="10" defaultColWidth="11.42578125" defaultRowHeight="12"/>
  <cols>
    <col min="1" max="1" width="41.5703125" style="94" customWidth="1"/>
    <col min="2" max="2" width="18.42578125" style="94" customWidth="1"/>
    <col min="3" max="3" width="17.28515625" style="94" customWidth="1"/>
    <col min="4" max="4" width="0.7109375" style="94" customWidth="1"/>
    <col min="5" max="5" width="12.28515625" style="94" bestFit="1" customWidth="1"/>
    <col min="6" max="19" width="11.42578125" style="94"/>
    <col min="20" max="16384" width="11.42578125" style="6"/>
  </cols>
  <sheetData>
    <row r="1" spans="1:6" ht="17.25" customHeight="1">
      <c r="A1" s="217" t="str">
        <f>Indice!C1</f>
        <v>NICOLAS GONZALEZ ODDONE S.A.E.C.A</v>
      </c>
      <c r="B1" s="632" t="s">
        <v>18</v>
      </c>
      <c r="C1" s="227"/>
      <c r="F1" s="97"/>
    </row>
    <row r="2" spans="1:6">
      <c r="B2" s="269"/>
    </row>
    <row r="3" spans="1:6" ht="15" customHeight="1">
      <c r="A3" s="955" t="s">
        <v>601</v>
      </c>
      <c r="B3" s="955"/>
      <c r="C3" s="955"/>
      <c r="D3" s="955"/>
    </row>
    <row r="4" spans="1:6">
      <c r="A4" s="149" t="s">
        <v>344</v>
      </c>
      <c r="B4" s="398"/>
      <c r="C4" s="398"/>
    </row>
    <row r="5" spans="1:6">
      <c r="A5" s="118"/>
      <c r="B5" s="398"/>
      <c r="C5" s="398"/>
    </row>
    <row r="6" spans="1:6" ht="12.75">
      <c r="A6" s="404" t="s">
        <v>345</v>
      </c>
      <c r="B6" s="578">
        <v>44834</v>
      </c>
      <c r="C6" s="578">
        <v>44561</v>
      </c>
      <c r="D6" s="119"/>
    </row>
    <row r="7" spans="1:6">
      <c r="A7" s="118" t="s">
        <v>602</v>
      </c>
      <c r="B7" s="505"/>
      <c r="C7" s="505"/>
      <c r="D7" s="119"/>
    </row>
    <row r="8" spans="1:6">
      <c r="A8" s="441" t="s">
        <v>603</v>
      </c>
      <c r="B8" s="123">
        <v>611197977</v>
      </c>
      <c r="C8" s="442">
        <v>0</v>
      </c>
      <c r="D8" s="119"/>
    </row>
    <row r="9" spans="1:6">
      <c r="A9" s="441" t="s">
        <v>604</v>
      </c>
      <c r="B9" s="123">
        <v>43068550</v>
      </c>
      <c r="C9" s="123">
        <v>43068550</v>
      </c>
      <c r="D9" s="119"/>
    </row>
    <row r="10" spans="1:6">
      <c r="A10" s="441" t="s">
        <v>605</v>
      </c>
      <c r="B10" s="123">
        <v>-43068550</v>
      </c>
      <c r="C10" s="123">
        <v>-43068550</v>
      </c>
      <c r="D10" s="119"/>
    </row>
    <row r="11" spans="1:6">
      <c r="A11" s="441" t="s">
        <v>606</v>
      </c>
      <c r="B11" s="123">
        <v>8431207682</v>
      </c>
      <c r="C11" s="123">
        <v>7981312809</v>
      </c>
      <c r="D11" s="119"/>
    </row>
    <row r="12" spans="1:6">
      <c r="A12" s="441" t="s">
        <v>607</v>
      </c>
      <c r="B12" s="123">
        <v>-4776231297</v>
      </c>
      <c r="C12" s="123">
        <v>-3769162225</v>
      </c>
      <c r="D12" s="119"/>
    </row>
    <row r="13" spans="1:6">
      <c r="A13" s="441" t="s">
        <v>608</v>
      </c>
      <c r="B13" s="123">
        <v>4367842145</v>
      </c>
      <c r="C13" s="123">
        <v>4341665645</v>
      </c>
      <c r="D13" s="119"/>
    </row>
    <row r="14" spans="1:6">
      <c r="A14" s="441" t="s">
        <v>1421</v>
      </c>
      <c r="B14" s="123">
        <v>104215625</v>
      </c>
      <c r="C14" s="123">
        <v>0</v>
      </c>
      <c r="D14" s="119"/>
    </row>
    <row r="15" spans="1:6" ht="12.75" customHeight="1">
      <c r="A15" s="441" t="s">
        <v>609</v>
      </c>
      <c r="B15" s="123">
        <v>-3334058402</v>
      </c>
      <c r="C15" s="123">
        <v>-3000520499</v>
      </c>
      <c r="D15" s="119"/>
    </row>
    <row r="16" spans="1:6">
      <c r="A16" s="441" t="s">
        <v>610</v>
      </c>
      <c r="B16" s="123">
        <v>351811895</v>
      </c>
      <c r="C16" s="123">
        <v>351811895</v>
      </c>
      <c r="D16" s="119"/>
    </row>
    <row r="17" spans="1:6">
      <c r="A17" s="441" t="s">
        <v>611</v>
      </c>
      <c r="B17" s="123">
        <v>-322741201</v>
      </c>
      <c r="C17" s="123">
        <v>-307340132</v>
      </c>
      <c r="D17" s="119"/>
    </row>
    <row r="18" spans="1:6" ht="12.75" customHeight="1">
      <c r="A18" s="441" t="s">
        <v>612</v>
      </c>
      <c r="B18" s="123">
        <v>342316500</v>
      </c>
      <c r="C18" s="123">
        <v>342316500</v>
      </c>
      <c r="D18" s="119"/>
    </row>
    <row r="19" spans="1:6" ht="12" customHeight="1">
      <c r="A19" s="441" t="s">
        <v>613</v>
      </c>
      <c r="B19" s="443">
        <v>-342316500</v>
      </c>
      <c r="C19" s="443">
        <v>-342316500</v>
      </c>
      <c r="D19" s="119"/>
      <c r="E19" s="95"/>
    </row>
    <row r="20" spans="1:6" ht="15.75" customHeight="1">
      <c r="A20" s="444" t="s">
        <v>166</v>
      </c>
      <c r="B20" s="124">
        <f>SUM(B8:B19)</f>
        <v>5433244424</v>
      </c>
      <c r="C20" s="124">
        <f>SUM(C8:C19)</f>
        <v>5597767493</v>
      </c>
      <c r="D20" s="119"/>
      <c r="E20" s="95"/>
    </row>
    <row r="21" spans="1:6">
      <c r="A21" s="441"/>
      <c r="B21" s="123"/>
      <c r="C21" s="123"/>
      <c r="D21" s="119"/>
    </row>
    <row r="22" spans="1:6">
      <c r="A22" s="445" t="s">
        <v>614</v>
      </c>
      <c r="B22" s="123"/>
      <c r="C22" s="123"/>
      <c r="D22" s="119"/>
    </row>
    <row r="23" spans="1:6" hidden="1">
      <c r="A23" s="441" t="s">
        <v>615</v>
      </c>
      <c r="B23" s="446">
        <f>599465-599465</f>
        <v>0</v>
      </c>
      <c r="C23" s="124">
        <v>0</v>
      </c>
      <c r="D23" s="119"/>
    </row>
    <row r="24" spans="1:6">
      <c r="A24" s="441" t="s">
        <v>615</v>
      </c>
      <c r="B24" s="123">
        <v>599465</v>
      </c>
      <c r="C24" s="123">
        <v>599465</v>
      </c>
      <c r="D24" s="119"/>
    </row>
    <row r="25" spans="1:6">
      <c r="A25" s="441" t="s">
        <v>616</v>
      </c>
      <c r="B25" s="123">
        <v>-599465</v>
      </c>
      <c r="C25" s="123">
        <v>-599465</v>
      </c>
      <c r="D25" s="119"/>
    </row>
    <row r="26" spans="1:6" ht="15" customHeight="1">
      <c r="A26" s="397" t="s">
        <v>617</v>
      </c>
      <c r="B26" s="447">
        <v>14269091</v>
      </c>
      <c r="C26" s="123">
        <v>14269091</v>
      </c>
      <c r="D26" s="120"/>
    </row>
    <row r="27" spans="1:6" ht="12.75" customHeight="1">
      <c r="A27" s="397" t="s">
        <v>618</v>
      </c>
      <c r="B27" s="448">
        <v>-14269091</v>
      </c>
      <c r="C27" s="443">
        <v>-14269091</v>
      </c>
      <c r="D27" s="120"/>
    </row>
    <row r="28" spans="1:6">
      <c r="A28" s="121" t="s">
        <v>166</v>
      </c>
      <c r="B28" s="125">
        <f>SUM(B23:B27)</f>
        <v>0</v>
      </c>
      <c r="C28" s="541">
        <f>SUM(C23:C27)</f>
        <v>0</v>
      </c>
      <c r="D28" s="122"/>
    </row>
    <row r="29" spans="1:6" ht="12.75" thickBot="1">
      <c r="A29" s="126" t="s">
        <v>598</v>
      </c>
      <c r="B29" s="897">
        <f>+B20+B28</f>
        <v>5433244424</v>
      </c>
      <c r="C29" s="539">
        <f>+C20+C28</f>
        <v>5597767493</v>
      </c>
      <c r="E29" s="95"/>
    </row>
    <row r="30" spans="1:6" ht="12.75" thickTop="1">
      <c r="A30" s="121"/>
      <c r="B30" s="269"/>
      <c r="C30" s="538"/>
      <c r="D30" s="122"/>
    </row>
    <row r="31" spans="1:6">
      <c r="A31" s="122"/>
      <c r="D31" s="122"/>
    </row>
    <row r="32" spans="1:6">
      <c r="A32" s="121"/>
      <c r="D32" s="122"/>
      <c r="E32" s="120"/>
      <c r="F32" s="120"/>
    </row>
    <row r="33" spans="1:4">
      <c r="B33" s="95"/>
    </row>
    <row r="34" spans="1:4">
      <c r="A34" s="126"/>
    </row>
    <row r="35" spans="1:4">
      <c r="A35" s="119"/>
      <c r="D35" s="119"/>
    </row>
    <row r="36" spans="1:4">
      <c r="A36" s="121"/>
    </row>
  </sheetData>
  <mergeCells count="1">
    <mergeCell ref="A3:D3"/>
  </mergeCells>
  <hyperlinks>
    <hyperlink ref="B1" location="BG!A1" display="BG" xr:uid="{B7973AD7-80BD-4780-BF69-8D5951F66F1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M13"/>
  <sheetViews>
    <sheetView showGridLines="0" workbookViewId="0">
      <selection activeCell="B7" sqref="B7"/>
    </sheetView>
  </sheetViews>
  <sheetFormatPr baseColWidth="10" defaultColWidth="11.42578125" defaultRowHeight="15"/>
  <cols>
    <col min="1" max="1" width="24.7109375" style="9" customWidth="1"/>
    <col min="2" max="2" width="17.140625" style="9" customWidth="1"/>
    <col min="3" max="3" width="17.28515625" style="9" customWidth="1"/>
    <col min="4" max="13" width="11.42578125" style="9"/>
  </cols>
  <sheetData>
    <row r="1" spans="1:5" ht="15.75" customHeight="1">
      <c r="A1" s="217" t="str">
        <f>Indice!C1</f>
        <v>NICOLAS GONZALEZ ODDONE S.A.E.C.A</v>
      </c>
      <c r="B1" s="277"/>
      <c r="C1" s="631" t="s">
        <v>18</v>
      </c>
      <c r="E1" s="234"/>
    </row>
    <row r="3" spans="1:5" ht="15.75" customHeight="1">
      <c r="A3" s="221" t="s">
        <v>619</v>
      </c>
      <c r="B3" s="235"/>
      <c r="C3" s="235"/>
      <c r="D3" s="235"/>
    </row>
    <row r="4" spans="1:5">
      <c r="A4" s="149" t="s">
        <v>344</v>
      </c>
      <c r="B4" s="987"/>
      <c r="C4" s="987"/>
    </row>
    <row r="5" spans="1:5" ht="23.25">
      <c r="A5" s="268" t="s">
        <v>620</v>
      </c>
      <c r="B5" s="149"/>
      <c r="C5" s="149"/>
    </row>
    <row r="6" spans="1:5">
      <c r="A6" s="94"/>
      <c r="B6" s="149"/>
      <c r="C6" s="149"/>
    </row>
    <row r="7" spans="1:5" ht="12.75" customHeight="1">
      <c r="A7" s="272" t="s">
        <v>37</v>
      </c>
      <c r="B7" s="583">
        <v>44834</v>
      </c>
      <c r="C7" s="583">
        <v>44561</v>
      </c>
      <c r="D7" s="11"/>
    </row>
    <row r="8" spans="1:5">
      <c r="A8" s="120"/>
      <c r="B8" s="120"/>
      <c r="C8" s="120"/>
      <c r="D8" s="12"/>
    </row>
    <row r="9" spans="1:5">
      <c r="A9" s="122"/>
      <c r="B9" s="94"/>
      <c r="C9" s="94"/>
      <c r="D9" s="13"/>
    </row>
    <row r="10" spans="1:5">
      <c r="A10" s="121"/>
      <c r="B10" s="94"/>
      <c r="C10" s="94"/>
      <c r="D10" s="13"/>
    </row>
    <row r="11" spans="1:5">
      <c r="A11" s="126" t="s">
        <v>598</v>
      </c>
      <c r="B11" s="898">
        <f>SUM(B8:B10)</f>
        <v>0</v>
      </c>
      <c r="C11" s="898">
        <f>SUM(C8:C10)</f>
        <v>0</v>
      </c>
    </row>
    <row r="12" spans="1:5">
      <c r="A12" s="14"/>
      <c r="D12" s="13"/>
    </row>
    <row r="13" spans="1:5">
      <c r="A13" s="13"/>
      <c r="D13" s="13"/>
    </row>
  </sheetData>
  <mergeCells count="1">
    <mergeCell ref="B4:C4"/>
  </mergeCells>
  <hyperlinks>
    <hyperlink ref="C1" location="BG!A1" display="BG" xr:uid="{8C63D888-8857-4054-80E4-7CCA64A3A7DD}"/>
  </hyperlinks>
  <pageMargins left="0.7" right="0.7" top="0.75" bottom="0.75" header="0.3" footer="0.3"/>
  <ignoredErrors>
    <ignoredError sqref="B11:C1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D60"/>
  <sheetViews>
    <sheetView showGridLines="0" workbookViewId="0">
      <selection activeCell="F26" sqref="F26"/>
    </sheetView>
  </sheetViews>
  <sheetFormatPr baseColWidth="10" defaultColWidth="11.42578125" defaultRowHeight="12.75"/>
  <cols>
    <col min="1" max="1" width="23.28515625" style="1" customWidth="1"/>
    <col min="2" max="2" width="10.140625" style="1" bestFit="1" customWidth="1"/>
    <col min="3" max="3" width="61.5703125" style="1" customWidth="1"/>
    <col min="4" max="4" width="14.85546875" style="7" customWidth="1"/>
    <col min="5" max="5" width="49.85546875" style="1" bestFit="1" customWidth="1"/>
    <col min="6" max="6" width="6.7109375" style="1" bestFit="1" customWidth="1"/>
    <col min="7" max="16384" width="11.42578125" style="1"/>
  </cols>
  <sheetData>
    <row r="1" spans="1:4">
      <c r="B1" s="61"/>
      <c r="C1" s="258" t="s">
        <v>7</v>
      </c>
      <c r="D1" s="1"/>
    </row>
    <row r="3" spans="1:4" ht="19.5" customHeight="1">
      <c r="A3" s="259"/>
      <c r="B3" s="260" t="s">
        <v>8</v>
      </c>
      <c r="C3" s="477" t="s">
        <v>9</v>
      </c>
      <c r="D3" s="1"/>
    </row>
    <row r="4" spans="1:4" ht="12.75" hidden="1" customHeight="1">
      <c r="A4" s="4"/>
      <c r="B4" s="4"/>
      <c r="C4" s="4"/>
      <c r="D4" s="47"/>
    </row>
    <row r="5" spans="1:4">
      <c r="A5" s="54"/>
      <c r="C5" s="61"/>
      <c r="D5" s="262"/>
    </row>
    <row r="6" spans="1:4" ht="26.45" customHeight="1">
      <c r="C6" s="339" t="s">
        <v>10</v>
      </c>
      <c r="D6" s="823" t="s">
        <v>11</v>
      </c>
    </row>
    <row r="7" spans="1:4" ht="26.45" customHeight="1">
      <c r="B7" s="293" t="s">
        <v>12</v>
      </c>
      <c r="C7" s="293"/>
      <c r="D7" s="334"/>
    </row>
    <row r="8" spans="1:4" ht="15">
      <c r="A8" s="7"/>
      <c r="C8" s="1" t="s">
        <v>13</v>
      </c>
      <c r="D8" s="335" t="s">
        <v>14</v>
      </c>
    </row>
    <row r="9" spans="1:4" ht="15">
      <c r="A9" s="7"/>
      <c r="C9" s="1" t="s">
        <v>15</v>
      </c>
      <c r="D9" s="336" t="s">
        <v>16</v>
      </c>
    </row>
    <row r="10" spans="1:4" ht="15">
      <c r="A10" s="7"/>
      <c r="B10" s="293" t="s">
        <v>17</v>
      </c>
      <c r="D10" s="335" t="s">
        <v>18</v>
      </c>
    </row>
    <row r="11" spans="1:4">
      <c r="A11" s="7"/>
      <c r="C11" s="1" t="s">
        <v>19</v>
      </c>
      <c r="D11" s="337" t="s">
        <v>20</v>
      </c>
    </row>
    <row r="12" spans="1:4">
      <c r="A12" s="7"/>
      <c r="C12" s="1" t="s">
        <v>21</v>
      </c>
      <c r="D12" s="337" t="s">
        <v>22</v>
      </c>
    </row>
    <row r="13" spans="1:4">
      <c r="A13" s="7"/>
      <c r="C13" s="1" t="s">
        <v>23</v>
      </c>
      <c r="D13" s="337" t="s">
        <v>24</v>
      </c>
    </row>
    <row r="14" spans="1:4">
      <c r="A14" s="7"/>
      <c r="C14" s="1" t="s">
        <v>25</v>
      </c>
      <c r="D14" s="337" t="s">
        <v>26</v>
      </c>
    </row>
    <row r="15" spans="1:4">
      <c r="A15" s="7"/>
      <c r="C15" s="1" t="s">
        <v>27</v>
      </c>
      <c r="D15" s="337" t="s">
        <v>28</v>
      </c>
    </row>
    <row r="16" spans="1:4">
      <c r="A16" s="7"/>
      <c r="C16" s="1" t="s">
        <v>29</v>
      </c>
      <c r="D16" s="337" t="s">
        <v>30</v>
      </c>
    </row>
    <row r="17" spans="1:4">
      <c r="A17" s="7"/>
      <c r="C17" s="1" t="s">
        <v>31</v>
      </c>
      <c r="D17" s="337" t="s">
        <v>32</v>
      </c>
    </row>
    <row r="18" spans="1:4">
      <c r="A18" s="7"/>
      <c r="C18" s="1" t="s">
        <v>33</v>
      </c>
      <c r="D18" s="337" t="s">
        <v>34</v>
      </c>
    </row>
    <row r="19" spans="1:4" ht="15">
      <c r="A19" s="7"/>
      <c r="C19" s="1" t="s">
        <v>35</v>
      </c>
      <c r="D19" s="336" t="s">
        <v>36</v>
      </c>
    </row>
    <row r="20" spans="1:4" ht="15">
      <c r="A20" s="7"/>
      <c r="C20" s="1" t="s">
        <v>37</v>
      </c>
      <c r="D20" s="335" t="s">
        <v>38</v>
      </c>
    </row>
    <row r="21" spans="1:4" ht="15">
      <c r="A21" s="7"/>
      <c r="C21" s="1" t="s">
        <v>39</v>
      </c>
      <c r="D21" s="335" t="s">
        <v>40</v>
      </c>
    </row>
    <row r="22" spans="1:4" ht="15">
      <c r="A22" s="7"/>
      <c r="C22" s="1" t="s">
        <v>41</v>
      </c>
      <c r="D22" s="336" t="s">
        <v>42</v>
      </c>
    </row>
    <row r="23" spans="1:4">
      <c r="A23" s="7"/>
      <c r="C23" s="1" t="s">
        <v>43</v>
      </c>
      <c r="D23" s="337" t="s">
        <v>44</v>
      </c>
    </row>
    <row r="24" spans="1:4">
      <c r="A24" s="7"/>
      <c r="C24" s="1" t="s">
        <v>45</v>
      </c>
      <c r="D24" s="337" t="s">
        <v>46</v>
      </c>
    </row>
    <row r="25" spans="1:4">
      <c r="A25" s="7"/>
      <c r="C25" s="1" t="s">
        <v>47</v>
      </c>
      <c r="D25" s="337" t="s">
        <v>48</v>
      </c>
    </row>
    <row r="26" spans="1:4" ht="15">
      <c r="A26" s="7"/>
      <c r="C26" s="1" t="s">
        <v>49</v>
      </c>
      <c r="D26" s="336" t="s">
        <v>50</v>
      </c>
    </row>
    <row r="27" spans="1:4" ht="15">
      <c r="A27" s="7"/>
      <c r="C27" s="1" t="s">
        <v>51</v>
      </c>
      <c r="D27" s="336" t="s">
        <v>52</v>
      </c>
    </row>
    <row r="28" spans="1:4" ht="15">
      <c r="A28" s="7"/>
      <c r="C28" s="1" t="s">
        <v>53</v>
      </c>
      <c r="D28" s="336" t="s">
        <v>54</v>
      </c>
    </row>
    <row r="29" spans="1:4" ht="15">
      <c r="A29" s="7"/>
      <c r="C29" s="1" t="s">
        <v>55</v>
      </c>
      <c r="D29" s="336" t="s">
        <v>56</v>
      </c>
    </row>
    <row r="30" spans="1:4" ht="15">
      <c r="A30" s="7"/>
      <c r="C30" s="1" t="s">
        <v>57</v>
      </c>
      <c r="D30" s="336" t="s">
        <v>58</v>
      </c>
    </row>
    <row r="31" spans="1:4" ht="15">
      <c r="A31" s="7"/>
      <c r="C31" s="1" t="s">
        <v>59</v>
      </c>
      <c r="D31" s="336" t="s">
        <v>58</v>
      </c>
    </row>
    <row r="32" spans="1:4" ht="15">
      <c r="A32" s="7"/>
      <c r="C32" s="1" t="s">
        <v>60</v>
      </c>
      <c r="D32" s="336" t="s">
        <v>58</v>
      </c>
    </row>
    <row r="33" spans="1:4" ht="15">
      <c r="A33" s="7"/>
      <c r="C33" s="1" t="s">
        <v>61</v>
      </c>
      <c r="D33" s="336" t="s">
        <v>58</v>
      </c>
    </row>
    <row r="34" spans="1:4" ht="15">
      <c r="A34" s="7"/>
      <c r="C34" s="1" t="s">
        <v>62</v>
      </c>
      <c r="D34" s="336" t="s">
        <v>63</v>
      </c>
    </row>
    <row r="35" spans="1:4" ht="15">
      <c r="A35" s="7"/>
      <c r="C35" s="1" t="s">
        <v>64</v>
      </c>
      <c r="D35" s="336" t="s">
        <v>65</v>
      </c>
    </row>
    <row r="36" spans="1:4" ht="15">
      <c r="A36" s="7"/>
      <c r="C36" s="1" t="s">
        <v>66</v>
      </c>
      <c r="D36" s="336" t="s">
        <v>67</v>
      </c>
    </row>
    <row r="37" spans="1:4" ht="15">
      <c r="A37" s="7"/>
      <c r="B37" s="293" t="s">
        <v>68</v>
      </c>
      <c r="D37" s="335" t="s">
        <v>69</v>
      </c>
    </row>
    <row r="38" spans="1:4" ht="15">
      <c r="A38" s="7"/>
      <c r="C38" s="1" t="s">
        <v>70</v>
      </c>
      <c r="D38" s="336" t="s">
        <v>71</v>
      </c>
    </row>
    <row r="39" spans="1:4" ht="15">
      <c r="A39" s="7"/>
      <c r="C39" s="1" t="s">
        <v>72</v>
      </c>
      <c r="D39" s="336" t="s">
        <v>73</v>
      </c>
    </row>
    <row r="40" spans="1:4" ht="15">
      <c r="A40" s="7"/>
      <c r="C40" s="1" t="s">
        <v>74</v>
      </c>
      <c r="D40" s="336" t="s">
        <v>75</v>
      </c>
    </row>
    <row r="41" spans="1:4" ht="15">
      <c r="A41" s="7"/>
      <c r="C41" s="1" t="s">
        <v>76</v>
      </c>
      <c r="D41" s="336" t="s">
        <v>75</v>
      </c>
    </row>
    <row r="42" spans="1:4" ht="15">
      <c r="A42" s="7"/>
      <c r="C42" s="1" t="s">
        <v>77</v>
      </c>
      <c r="D42" s="336" t="s">
        <v>78</v>
      </c>
    </row>
    <row r="43" spans="1:4" ht="15">
      <c r="A43" s="7"/>
      <c r="C43" s="1" t="s">
        <v>79</v>
      </c>
      <c r="D43" s="336" t="s">
        <v>80</v>
      </c>
    </row>
    <row r="44" spans="1:4" ht="15">
      <c r="A44" s="7"/>
      <c r="C44" s="1" t="s">
        <v>81</v>
      </c>
      <c r="D44" s="336" t="s">
        <v>80</v>
      </c>
    </row>
    <row r="45" spans="1:4" ht="15">
      <c r="A45" s="7"/>
      <c r="C45" s="1" t="s">
        <v>82</v>
      </c>
      <c r="D45" s="336" t="s">
        <v>83</v>
      </c>
    </row>
    <row r="46" spans="1:4" ht="15">
      <c r="A46" s="7"/>
      <c r="C46" s="1" t="s">
        <v>84</v>
      </c>
      <c r="D46" s="336" t="s">
        <v>85</v>
      </c>
    </row>
    <row r="47" spans="1:4" ht="15">
      <c r="A47" s="7"/>
      <c r="C47" s="1" t="s">
        <v>86</v>
      </c>
      <c r="D47" s="336" t="s">
        <v>87</v>
      </c>
    </row>
    <row r="48" spans="1:4" ht="15">
      <c r="A48" s="7"/>
      <c r="C48" s="1" t="s">
        <v>88</v>
      </c>
      <c r="D48" s="336" t="s">
        <v>89</v>
      </c>
    </row>
    <row r="49" spans="1:4" ht="15">
      <c r="A49" s="7"/>
      <c r="C49" s="1" t="s">
        <v>90</v>
      </c>
      <c r="D49" s="336" t="s">
        <v>91</v>
      </c>
    </row>
    <row r="50" spans="1:4" ht="15">
      <c r="A50" s="7"/>
      <c r="C50" s="1" t="s">
        <v>92</v>
      </c>
      <c r="D50" s="336" t="s">
        <v>93</v>
      </c>
    </row>
    <row r="51" spans="1:4" ht="15">
      <c r="A51" s="7"/>
      <c r="C51" s="1" t="s">
        <v>94</v>
      </c>
      <c r="D51" s="335" t="s">
        <v>95</v>
      </c>
    </row>
    <row r="52" spans="1:4" ht="15">
      <c r="A52" s="7"/>
      <c r="B52" s="293" t="s">
        <v>96</v>
      </c>
      <c r="D52" s="335" t="s">
        <v>97</v>
      </c>
    </row>
    <row r="53" spans="1:4" ht="15">
      <c r="A53" s="7"/>
      <c r="B53" s="293" t="s">
        <v>98</v>
      </c>
      <c r="D53" s="336" t="s">
        <v>99</v>
      </c>
    </row>
    <row r="54" spans="1:4" ht="15">
      <c r="A54" s="7"/>
      <c r="B54" s="293" t="s">
        <v>100</v>
      </c>
      <c r="D54" s="336"/>
    </row>
    <row r="55" spans="1:4" ht="15">
      <c r="A55" s="7"/>
      <c r="C55" s="1" t="s">
        <v>101</v>
      </c>
      <c r="D55" s="335" t="s">
        <v>95</v>
      </c>
    </row>
    <row r="56" spans="1:4" ht="15">
      <c r="A56" s="7"/>
      <c r="C56" s="1" t="s">
        <v>102</v>
      </c>
      <c r="D56" s="335" t="s">
        <v>103</v>
      </c>
    </row>
    <row r="57" spans="1:4" ht="15">
      <c r="A57" s="7"/>
      <c r="C57" s="1" t="s">
        <v>104</v>
      </c>
      <c r="D57" s="335" t="s">
        <v>105</v>
      </c>
    </row>
    <row r="58" spans="1:4" ht="15">
      <c r="A58" s="7"/>
      <c r="C58" s="1" t="s">
        <v>106</v>
      </c>
      <c r="D58" s="335" t="s">
        <v>107</v>
      </c>
    </row>
    <row r="59" spans="1:4" ht="15">
      <c r="A59" s="7"/>
      <c r="C59" s="1" t="s">
        <v>108</v>
      </c>
      <c r="D59" s="338" t="s">
        <v>109</v>
      </c>
    </row>
    <row r="60" spans="1:4" ht="21.2" customHeight="1">
      <c r="A60" s="5"/>
      <c r="D60" s="48"/>
    </row>
  </sheetData>
  <phoneticPr fontId="93" type="noConversion"/>
  <hyperlinks>
    <hyperlink ref="D11" location="'Nota 3'!A1" display="'Nota 3'!A1" xr:uid="{00000000-0004-0000-0100-000000000000}"/>
    <hyperlink ref="D12" location="'Nota 4'!A1" display="'Nota 4'!A1" xr:uid="{00000000-0004-0000-0100-000001000000}"/>
    <hyperlink ref="D13" location="'Nota 5'!A1" display="'Nota 5'!A1" xr:uid="{00000000-0004-0000-0100-000002000000}"/>
    <hyperlink ref="D14" location="'Nota 6'!A1" display="'Nota 6'!A1" xr:uid="{00000000-0004-0000-0100-000003000000}"/>
    <hyperlink ref="D15" location="'Nota 7'!A1" display="'Nota 7'!A1" xr:uid="{00000000-0004-0000-0100-000004000000}"/>
    <hyperlink ref="D17" location="'Nota 9'!A1" display="'Nota 9'!A1" xr:uid="{00000000-0004-0000-0100-000005000000}"/>
    <hyperlink ref="D18" location="'Nota 10'!A1" display="'Nota 10'!A1" xr:uid="{00000000-0004-0000-0100-000006000000}"/>
    <hyperlink ref="D23" location="'Nota 14'!A1" display="'Nota 14'!A1" xr:uid="{00000000-0004-0000-0100-000007000000}"/>
    <hyperlink ref="D24" location="'Nota 15'!A1" display="'Nota 15'!A1" xr:uid="{00000000-0004-0000-0100-000008000000}"/>
    <hyperlink ref="D25" location="'Nota 16'!A1" display="'Nota 16'!A1" xr:uid="{00000000-0004-0000-0100-000009000000}"/>
    <hyperlink ref="D16" location="'Nota 8'!A1" display="'Nota 8'!A1" xr:uid="{00000000-0004-0000-0100-00000A000000}"/>
    <hyperlink ref="D10" location="BG!A1" display="BG" xr:uid="{00000000-0004-0000-0100-00000B000000}"/>
    <hyperlink ref="D37" location="ER!A1" display="ER" xr:uid="{00000000-0004-0000-0100-00000C000000}"/>
    <hyperlink ref="D52" location="EVPN!A1" display="EVPN" xr:uid="{00000000-0004-0000-0100-00000D000000}"/>
    <hyperlink ref="D53" location="EFE!A1" display="EFE" xr:uid="{00000000-0004-0000-0100-00000E000000}"/>
    <hyperlink ref="D19" location="'Nota 11'!A1" display="Nota 11 y 12" xr:uid="{00000000-0004-0000-0100-00000F000000}"/>
    <hyperlink ref="D20" location="'Nota 12'!A1" display="Nota 12" xr:uid="{00000000-0004-0000-0100-000010000000}"/>
    <hyperlink ref="D22" location="'Nota 13'!A1" display="Nota 13'" xr:uid="{00000000-0004-0000-0100-000011000000}"/>
    <hyperlink ref="D26" location="'Nota 17'!A1" display="Nota 17" xr:uid="{00000000-0004-0000-0100-000012000000}"/>
    <hyperlink ref="D27" location="'Nota 18'!A1" display="Nota 18" xr:uid="{00000000-0004-0000-0100-000013000000}"/>
    <hyperlink ref="D28" location="'Nota 19'!A1" display="Nota 19" xr:uid="{00000000-0004-0000-0100-000014000000}"/>
    <hyperlink ref="D29" location="'Nota 20'!A1" display="Nota 20" xr:uid="{00000000-0004-0000-0100-000015000000}"/>
    <hyperlink ref="D30" location="' Nota 21'!A1" display="Nota 21" xr:uid="{00000000-0004-0000-0100-000016000000}"/>
    <hyperlink ref="D31" location="' Nota 21'!A1" display="Nota 21" xr:uid="{00000000-0004-0000-0100-000017000000}"/>
    <hyperlink ref="D32" location="' Nota 21'!A1" display="Nota 21" xr:uid="{00000000-0004-0000-0100-000018000000}"/>
    <hyperlink ref="D33" location="' Nota 21'!A1" display="Nota 21" xr:uid="{00000000-0004-0000-0100-000019000000}"/>
    <hyperlink ref="D34" location="'Nota 22'!A1" display="Nota 22" xr:uid="{00000000-0004-0000-0100-00001A000000}"/>
    <hyperlink ref="D38" location="'Nota 25'!A1" display="Nota 25" xr:uid="{00000000-0004-0000-0100-00001D000000}"/>
    <hyperlink ref="D39" location="'Nota 26'!A1" display="Nota 26" xr:uid="{00000000-0004-0000-0100-00001E000000}"/>
    <hyperlink ref="D40" location="'Nota 27'!A1" display="Nota 27" xr:uid="{00000000-0004-0000-0100-00001F000000}"/>
    <hyperlink ref="D41" location="'Nota 27'!A1" display="N ota 27" xr:uid="{00000000-0004-0000-0100-000020000000}"/>
    <hyperlink ref="D42" location="'Nota 28'!A1" display="Nota 28" xr:uid="{00000000-0004-0000-0100-000021000000}"/>
    <hyperlink ref="D43" location="'Nota 29'!A1" display="Nota 29" xr:uid="{00000000-0004-0000-0100-000022000000}"/>
    <hyperlink ref="D44" location="'Nota 29'!A1" display="Nota 29" xr:uid="{00000000-0004-0000-0100-000023000000}"/>
    <hyperlink ref="D45" location="'Nota 30'!A1" display="Nota 30" xr:uid="{00000000-0004-0000-0100-000024000000}"/>
    <hyperlink ref="D46" location="'Nota 31'!A1" display="Nota 31" xr:uid="{00000000-0004-0000-0100-000025000000}"/>
    <hyperlink ref="D47" location="'Nota 32'!A1" display="Nota 32" xr:uid="{00000000-0004-0000-0100-000026000000}"/>
    <hyperlink ref="D48" location="'Nota 33'!A1" display="Nota 33" xr:uid="{00000000-0004-0000-0100-000027000000}"/>
    <hyperlink ref="D49" location="'Nota 34'!A1" display="Nota 34" xr:uid="{00000000-0004-0000-0100-000028000000}"/>
    <hyperlink ref="D50" location="'Nota 35'!A1" display="Nota 35" xr:uid="{00000000-0004-0000-0100-000029000000}"/>
    <hyperlink ref="D51" location="'Nota 35'!A1" display="Nota 35" xr:uid="{00000000-0004-0000-0100-00002A000000}"/>
    <hyperlink ref="D56" location="'Nota 37'!A1" display="Nota 37" xr:uid="{00000000-0004-0000-0100-00002B000000}"/>
    <hyperlink ref="D55" location="'Nota 36'!A1" display="Nota 36" xr:uid="{00000000-0004-0000-0100-00002C000000}"/>
    <hyperlink ref="D9" location="'Nota 2'!A1" display="Nota 2" xr:uid="{00000000-0004-0000-0100-00002D000000}"/>
    <hyperlink ref="D8" location="Nota1!A1" display="Nota 1" xr:uid="{00000000-0004-0000-0100-00002E000000}"/>
    <hyperlink ref="D59" location="'Nota 40'!A1" display="Nota 40" xr:uid="{00000000-0004-0000-0100-00002F000000}"/>
    <hyperlink ref="D58" location="'Nota 39'!A1" display="Nota 39" xr:uid="{00000000-0004-0000-0100-000030000000}"/>
    <hyperlink ref="D57" location="'Nota 38'!A1" display="Nota 38" xr:uid="{00000000-0004-0000-0100-000031000000}"/>
    <hyperlink ref="D21" location="'Nota 12'!A1" display="Nota 12" xr:uid="{00000000-0004-0000-0100-000032000000}"/>
    <hyperlink ref="D35" location="'Nota 22'!A1" display="Nota 22" xr:uid="{2E24AAC4-433E-4698-8B3A-081C3621C3D3}"/>
    <hyperlink ref="D36" location="'Nota 22'!A1" display="Nota 22" xr:uid="{7A3139B5-3255-4559-A225-7A3703B4EE78}"/>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62"/>
  <sheetViews>
    <sheetView showGridLines="0" workbookViewId="0">
      <selection activeCell="B1" sqref="B1"/>
    </sheetView>
  </sheetViews>
  <sheetFormatPr baseColWidth="10" defaultColWidth="11.42578125" defaultRowHeight="12"/>
  <cols>
    <col min="1" max="1" width="42.5703125" style="6" customWidth="1"/>
    <col min="2" max="2" width="21.5703125" style="6" customWidth="1"/>
    <col min="3" max="3" width="19.28515625" style="6" customWidth="1"/>
    <col min="4" max="4" width="11.42578125" style="6"/>
    <col min="5" max="5" width="9.28515625" style="6" customWidth="1"/>
    <col min="6" max="6" width="15.28515625" style="6" customWidth="1"/>
    <col min="7" max="7" width="29.85546875" style="6" customWidth="1"/>
    <col min="8" max="8" width="19.28515625" style="6" customWidth="1"/>
    <col min="9" max="9" width="16.42578125" style="6" customWidth="1"/>
    <col min="10" max="16384" width="11.42578125" style="6"/>
  </cols>
  <sheetData>
    <row r="1" spans="1:9" ht="16.5" customHeight="1">
      <c r="A1" s="217" t="str">
        <f>Indice!C1</f>
        <v>NICOLAS GONZALEZ ODDONE S.A.E.C.A</v>
      </c>
      <c r="B1" s="636" t="s">
        <v>18</v>
      </c>
      <c r="C1" s="233"/>
    </row>
    <row r="3" spans="1:9" ht="14.25" customHeight="1">
      <c r="A3" s="221" t="s">
        <v>621</v>
      </c>
      <c r="B3" s="221"/>
      <c r="C3" s="221"/>
    </row>
    <row r="4" spans="1:9">
      <c r="A4" s="2" t="s">
        <v>344</v>
      </c>
      <c r="B4" s="2"/>
      <c r="H4" s="131"/>
      <c r="I4" s="133"/>
    </row>
    <row r="5" spans="1:9">
      <c r="A5" s="2"/>
      <c r="B5" s="2"/>
      <c r="H5" s="131"/>
      <c r="I5" s="133"/>
    </row>
    <row r="6" spans="1:9">
      <c r="A6" s="111" t="s">
        <v>622</v>
      </c>
      <c r="B6" s="2"/>
      <c r="C6" s="2"/>
    </row>
    <row r="7" spans="1:9" ht="12.75">
      <c r="A7" s="449" t="s">
        <v>345</v>
      </c>
      <c r="B7" s="584">
        <v>44834</v>
      </c>
      <c r="C7" s="584">
        <v>44561</v>
      </c>
      <c r="H7" s="131"/>
      <c r="I7" s="133"/>
    </row>
    <row r="8" spans="1:9">
      <c r="A8" s="167" t="s">
        <v>541</v>
      </c>
      <c r="B8" s="169"/>
      <c r="C8" s="169"/>
    </row>
    <row r="9" spans="1:9">
      <c r="A9" s="6" t="s">
        <v>623</v>
      </c>
      <c r="B9" s="131">
        <v>1735632000</v>
      </c>
      <c r="C9" s="723">
        <v>6602158080</v>
      </c>
      <c r="H9" s="728"/>
      <c r="I9" s="723"/>
    </row>
    <row r="10" spans="1:9">
      <c r="A10" s="6" t="s">
        <v>624</v>
      </c>
      <c r="B10" s="131">
        <v>0</v>
      </c>
      <c r="C10" s="723">
        <v>905107069</v>
      </c>
      <c r="H10" s="98"/>
      <c r="I10" s="723"/>
    </row>
    <row r="11" spans="1:9" hidden="1">
      <c r="A11" s="6" t="s">
        <v>625</v>
      </c>
      <c r="B11" s="98"/>
      <c r="C11" s="723">
        <v>0</v>
      </c>
      <c r="H11" s="728"/>
      <c r="I11" s="723"/>
    </row>
    <row r="12" spans="1:9">
      <c r="A12" s="6" t="s">
        <v>626</v>
      </c>
      <c r="B12" s="131">
        <v>2242815150</v>
      </c>
      <c r="C12" s="723">
        <v>11841877946</v>
      </c>
      <c r="H12" s="728"/>
      <c r="I12" s="723"/>
    </row>
    <row r="13" spans="1:9">
      <c r="A13" s="6" t="s">
        <v>627</v>
      </c>
      <c r="B13" s="131">
        <v>1287227</v>
      </c>
      <c r="C13" s="723">
        <v>0</v>
      </c>
      <c r="H13" s="728"/>
      <c r="I13" s="724"/>
    </row>
    <row r="14" spans="1:9" hidden="1">
      <c r="A14" s="6" t="s">
        <v>628</v>
      </c>
      <c r="B14" s="131">
        <v>0</v>
      </c>
      <c r="C14" s="724">
        <v>0</v>
      </c>
      <c r="H14" s="728"/>
      <c r="I14" s="723"/>
    </row>
    <row r="15" spans="1:9">
      <c r="A15" s="6" t="s">
        <v>629</v>
      </c>
      <c r="B15" s="131">
        <v>0</v>
      </c>
      <c r="C15" s="723">
        <v>10514125185</v>
      </c>
      <c r="H15" s="728"/>
      <c r="I15" s="723"/>
    </row>
    <row r="16" spans="1:9">
      <c r="A16" s="6" t="s">
        <v>630</v>
      </c>
      <c r="B16" s="131">
        <v>5871370800</v>
      </c>
      <c r="C16" s="723">
        <v>7960641</v>
      </c>
      <c r="H16" s="728"/>
      <c r="I16" s="723"/>
    </row>
    <row r="17" spans="1:9">
      <c r="A17" s="6" t="s">
        <v>631</v>
      </c>
      <c r="B17" s="131">
        <v>115482771</v>
      </c>
      <c r="C17" s="723">
        <v>112062267</v>
      </c>
      <c r="H17" s="728"/>
      <c r="I17" s="723"/>
    </row>
    <row r="18" spans="1:9">
      <c r="A18" s="6" t="s">
        <v>632</v>
      </c>
      <c r="B18" s="131">
        <v>0</v>
      </c>
      <c r="C18" s="723">
        <v>619961203</v>
      </c>
      <c r="H18" s="728"/>
      <c r="I18" s="723"/>
    </row>
    <row r="19" spans="1:9">
      <c r="A19" s="6" t="s">
        <v>633</v>
      </c>
      <c r="B19" s="131">
        <v>2895413</v>
      </c>
      <c r="C19" s="723">
        <v>0</v>
      </c>
      <c r="H19" s="728"/>
      <c r="I19" s="723"/>
    </row>
    <row r="20" spans="1:9" hidden="1">
      <c r="A20" s="6" t="s">
        <v>634</v>
      </c>
      <c r="B20" s="131">
        <v>0</v>
      </c>
      <c r="C20" s="723">
        <v>0</v>
      </c>
      <c r="H20" s="728"/>
      <c r="I20" s="723"/>
    </row>
    <row r="21" spans="1:9">
      <c r="A21" s="6" t="s">
        <v>635</v>
      </c>
      <c r="B21" s="131">
        <v>10397173040</v>
      </c>
      <c r="C21" s="723">
        <v>3783999</v>
      </c>
      <c r="H21" s="98"/>
      <c r="I21" s="98"/>
    </row>
    <row r="22" spans="1:9">
      <c r="A22" s="6" t="s">
        <v>636</v>
      </c>
      <c r="B22" s="131">
        <v>1309878</v>
      </c>
      <c r="C22" s="723">
        <v>116785935</v>
      </c>
      <c r="H22" s="98"/>
      <c r="I22" s="98"/>
    </row>
    <row r="23" spans="1:9">
      <c r="A23" s="6" t="s">
        <v>637</v>
      </c>
      <c r="B23" s="98">
        <v>1763652389</v>
      </c>
      <c r="C23" s="98">
        <v>12988867996</v>
      </c>
      <c r="H23" s="98"/>
      <c r="I23" s="98"/>
    </row>
    <row r="24" spans="1:9">
      <c r="A24" s="6" t="s">
        <v>638</v>
      </c>
      <c r="B24" s="98">
        <v>796561500</v>
      </c>
      <c r="C24" s="98">
        <v>33404808</v>
      </c>
      <c r="H24" s="98"/>
      <c r="I24" s="98"/>
    </row>
    <row r="25" spans="1:9">
      <c r="A25" s="6" t="s">
        <v>639</v>
      </c>
      <c r="B25" s="98">
        <v>0</v>
      </c>
      <c r="C25" s="98">
        <v>161432320</v>
      </c>
      <c r="H25" s="728"/>
      <c r="I25" s="723"/>
    </row>
    <row r="26" spans="1:9">
      <c r="A26" s="6" t="s">
        <v>640</v>
      </c>
      <c r="B26" s="98">
        <v>4302425</v>
      </c>
      <c r="C26" s="98">
        <v>1614392</v>
      </c>
      <c r="H26" s="728"/>
      <c r="I26" s="723"/>
    </row>
    <row r="27" spans="1:9">
      <c r="A27" s="6" t="s">
        <v>641</v>
      </c>
      <c r="B27" s="98">
        <v>0</v>
      </c>
      <c r="C27" s="98">
        <v>425989166</v>
      </c>
      <c r="H27" s="728"/>
      <c r="I27" s="723"/>
    </row>
    <row r="28" spans="1:9">
      <c r="A28" s="6" t="s">
        <v>642</v>
      </c>
      <c r="B28" s="465">
        <v>0</v>
      </c>
      <c r="C28" s="465">
        <v>12492195431</v>
      </c>
      <c r="H28" s="728"/>
      <c r="I28" s="723"/>
    </row>
    <row r="29" spans="1:9" hidden="1">
      <c r="A29" s="6" t="s">
        <v>643</v>
      </c>
      <c r="B29" s="131">
        <v>0</v>
      </c>
      <c r="C29" s="133">
        <v>0</v>
      </c>
      <c r="H29" s="728"/>
      <c r="I29" s="723"/>
    </row>
    <row r="30" spans="1:9" hidden="1">
      <c r="A30" s="6" t="s">
        <v>644</v>
      </c>
      <c r="B30" s="131">
        <v>0</v>
      </c>
      <c r="C30" s="133">
        <v>0</v>
      </c>
      <c r="H30" s="728"/>
      <c r="I30" s="723"/>
    </row>
    <row r="31" spans="1:9" hidden="1">
      <c r="A31" s="6" t="s">
        <v>645</v>
      </c>
      <c r="B31" s="450">
        <v>0</v>
      </c>
      <c r="C31" s="413">
        <v>0</v>
      </c>
      <c r="H31" s="728"/>
      <c r="I31" s="723"/>
    </row>
    <row r="32" spans="1:9">
      <c r="A32" s="111" t="s">
        <v>166</v>
      </c>
      <c r="B32" s="134">
        <f>SUM(B9:B31)</f>
        <v>22932482593</v>
      </c>
      <c r="C32" s="114">
        <f>SUM(C9:C31)</f>
        <v>56827326438</v>
      </c>
      <c r="F32" s="98"/>
      <c r="I32" s="98"/>
    </row>
    <row r="33" spans="1:6">
      <c r="A33" s="111"/>
      <c r="B33" s="134"/>
      <c r="C33" s="114"/>
      <c r="F33" s="98"/>
    </row>
    <row r="34" spans="1:6">
      <c r="A34" s="111" t="s">
        <v>646</v>
      </c>
      <c r="B34" s="131"/>
      <c r="C34" s="133"/>
    </row>
    <row r="35" spans="1:6">
      <c r="A35" s="6" t="s">
        <v>647</v>
      </c>
      <c r="B35" s="450">
        <v>0</v>
      </c>
      <c r="C35" s="413">
        <v>21622557</v>
      </c>
    </row>
    <row r="36" spans="1:6">
      <c r="A36" s="111" t="s">
        <v>467</v>
      </c>
      <c r="B36" s="134">
        <f>SUM(B35)</f>
        <v>0</v>
      </c>
      <c r="C36" s="114">
        <f>SUM(C35)</f>
        <v>21622557</v>
      </c>
    </row>
    <row r="37" spans="1:6">
      <c r="A37" s="111"/>
      <c r="B37" s="134"/>
      <c r="C37" s="114"/>
    </row>
    <row r="38" spans="1:6" ht="12.75" thickBot="1">
      <c r="A38" s="99" t="s">
        <v>648</v>
      </c>
      <c r="B38" s="135">
        <f>+B32+B36</f>
        <v>22932482593</v>
      </c>
      <c r="C38" s="115">
        <f>+C32+C36</f>
        <v>56848948995</v>
      </c>
      <c r="F38" s="98"/>
    </row>
    <row r="39" spans="1:6" ht="12.75" thickTop="1">
      <c r="A39" s="99"/>
      <c r="B39" s="136"/>
      <c r="C39" s="133"/>
    </row>
    <row r="40" spans="1:6">
      <c r="B40" s="98"/>
      <c r="C40" s="113"/>
    </row>
    <row r="41" spans="1:6">
      <c r="C41" s="106"/>
    </row>
    <row r="42" spans="1:6">
      <c r="A42" s="111"/>
      <c r="B42" s="95"/>
      <c r="C42" s="451"/>
    </row>
    <row r="43" spans="1:6">
      <c r="B43" s="452"/>
      <c r="C43" s="453"/>
    </row>
    <row r="44" spans="1:6">
      <c r="B44" s="131"/>
      <c r="C44" s="133"/>
    </row>
    <row r="45" spans="1:6">
      <c r="B45" s="131"/>
      <c r="C45" s="133"/>
    </row>
    <row r="46" spans="1:6">
      <c r="B46" s="98"/>
      <c r="C46" s="133"/>
    </row>
    <row r="47" spans="1:6">
      <c r="B47" s="131"/>
      <c r="C47" s="133"/>
    </row>
    <row r="48" spans="1:6">
      <c r="B48" s="131"/>
      <c r="C48" s="133"/>
    </row>
    <row r="49" spans="2:9">
      <c r="B49" s="131"/>
      <c r="C49" s="132"/>
    </row>
    <row r="50" spans="2:9">
      <c r="B50" s="131"/>
      <c r="C50" s="133"/>
    </row>
    <row r="51" spans="2:9">
      <c r="B51" s="131"/>
      <c r="C51" s="133"/>
    </row>
    <row r="52" spans="2:9">
      <c r="B52" s="131"/>
      <c r="C52" s="133"/>
    </row>
    <row r="53" spans="2:9">
      <c r="B53" s="98"/>
      <c r="C53" s="98"/>
    </row>
    <row r="54" spans="2:9">
      <c r="B54" s="131"/>
      <c r="C54" s="133"/>
      <c r="H54" s="131"/>
      <c r="I54" s="133"/>
    </row>
    <row r="55" spans="2:9">
      <c r="B55" s="131"/>
      <c r="C55" s="133"/>
    </row>
    <row r="56" spans="2:9">
      <c r="B56" s="131"/>
      <c r="C56" s="133"/>
      <c r="H56" s="131"/>
      <c r="I56" s="133"/>
    </row>
    <row r="57" spans="2:9">
      <c r="B57" s="98"/>
      <c r="C57" s="98"/>
    </row>
    <row r="58" spans="2:9">
      <c r="B58" s="98"/>
      <c r="C58" s="98"/>
    </row>
    <row r="59" spans="2:9">
      <c r="B59" s="131"/>
      <c r="C59" s="133"/>
      <c r="H59" s="131"/>
      <c r="I59" s="133"/>
    </row>
    <row r="60" spans="2:9">
      <c r="B60" s="131"/>
      <c r="C60" s="133"/>
      <c r="H60" s="131"/>
      <c r="I60" s="133"/>
    </row>
    <row r="61" spans="2:9">
      <c r="B61" s="131"/>
      <c r="C61" s="133"/>
    </row>
    <row r="62" spans="2:9">
      <c r="B62" s="131"/>
      <c r="C62" s="108"/>
    </row>
  </sheetData>
  <hyperlinks>
    <hyperlink ref="B1" location="BG!A1" display="BG" xr:uid="{1A05AE50-E94B-4931-8FA2-1B0BA561AF73}"/>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N592"/>
  <sheetViews>
    <sheetView showGridLines="0" topLeftCell="A10" zoomScale="90" zoomScaleNormal="90" workbookViewId="0">
      <selection activeCell="D26" sqref="D26"/>
    </sheetView>
  </sheetViews>
  <sheetFormatPr baseColWidth="10" defaultColWidth="11.42578125" defaultRowHeight="12"/>
  <cols>
    <col min="1" max="1" width="43.28515625" style="6" customWidth="1"/>
    <col min="2" max="2" width="17.85546875" style="164" customWidth="1"/>
    <col min="3" max="3" width="10.140625" style="6" customWidth="1"/>
    <col min="4" max="4" width="18.28515625" style="6" customWidth="1"/>
    <col min="5" max="5" width="15" style="6" customWidth="1"/>
    <col min="6" max="6" width="15.7109375" style="6" customWidth="1"/>
    <col min="7" max="7" width="2.7109375" style="6" customWidth="1"/>
    <col min="8" max="8" width="19" style="6" customWidth="1"/>
    <col min="9" max="9" width="9" style="164" customWidth="1"/>
    <col min="10" max="10" width="18" style="6" customWidth="1"/>
    <col min="11" max="11" width="20.42578125" style="6" bestFit="1" customWidth="1"/>
    <col min="12" max="12" width="14.7109375" style="6" customWidth="1"/>
    <col min="13" max="13" width="11.42578125" style="6"/>
    <col min="14" max="14" width="14.28515625" style="6" bestFit="1" customWidth="1"/>
    <col min="15" max="16384" width="11.42578125" style="6"/>
  </cols>
  <sheetData>
    <row r="1" spans="1:12" ht="15" customHeight="1">
      <c r="A1" s="217" t="str">
        <f>Indice!C1</f>
        <v>NICOLAS GONZALEZ ODDONE S.A.E.C.A</v>
      </c>
      <c r="B1" s="252" t="s">
        <v>18</v>
      </c>
      <c r="C1" s="229"/>
      <c r="E1" s="141"/>
      <c r="L1" s="141"/>
    </row>
    <row r="2" spans="1:12" ht="15" customHeight="1"/>
    <row r="3" spans="1:12" ht="15" customHeight="1">
      <c r="A3" s="221" t="s">
        <v>649</v>
      </c>
      <c r="B3" s="377"/>
      <c r="C3" s="221"/>
      <c r="D3" s="221"/>
      <c r="E3" s="221"/>
      <c r="F3" s="221"/>
      <c r="G3" s="127"/>
      <c r="H3" s="221"/>
      <c r="I3" s="377"/>
      <c r="J3" s="221"/>
      <c r="K3" s="221"/>
      <c r="L3" s="221"/>
    </row>
    <row r="4" spans="1:12" ht="15" customHeight="1">
      <c r="A4" s="2" t="s">
        <v>344</v>
      </c>
    </row>
    <row r="5" spans="1:12" ht="15" customHeight="1"/>
    <row r="6" spans="1:12" ht="15" customHeight="1">
      <c r="A6" s="111" t="s">
        <v>650</v>
      </c>
      <c r="C6" s="2"/>
      <c r="D6" s="2"/>
      <c r="E6" s="2"/>
      <c r="I6" s="398"/>
      <c r="J6" s="2"/>
      <c r="K6" s="2"/>
      <c r="L6" s="2"/>
    </row>
    <row r="7" spans="1:12" ht="15" customHeight="1">
      <c r="A7" s="142" t="s">
        <v>651</v>
      </c>
      <c r="C7" s="2"/>
      <c r="D7" s="2"/>
      <c r="E7" s="2"/>
      <c r="I7" s="398"/>
      <c r="J7" s="2"/>
      <c r="K7" s="2"/>
      <c r="L7" s="2"/>
    </row>
    <row r="8" spans="1:12" ht="15" customHeight="1">
      <c r="A8" s="102"/>
      <c r="B8" s="629"/>
      <c r="C8" s="629"/>
      <c r="D8" s="585">
        <v>44834</v>
      </c>
      <c r="E8" s="231"/>
      <c r="F8" s="231"/>
      <c r="G8" s="145"/>
      <c r="H8" s="217"/>
      <c r="I8" s="629"/>
      <c r="J8" s="577">
        <v>44561</v>
      </c>
      <c r="K8" s="217"/>
      <c r="L8" s="217"/>
    </row>
    <row r="9" spans="1:12" ht="15" customHeight="1">
      <c r="A9" s="454" t="s">
        <v>345</v>
      </c>
      <c r="B9" s="462" t="s">
        <v>652</v>
      </c>
      <c r="C9" s="460" t="s">
        <v>653</v>
      </c>
      <c r="D9" s="456" t="s">
        <v>654</v>
      </c>
      <c r="E9" s="457" t="s">
        <v>655</v>
      </c>
      <c r="F9" s="455" t="s">
        <v>656</v>
      </c>
      <c r="G9" s="458"/>
      <c r="H9" s="459" t="s">
        <v>652</v>
      </c>
      <c r="I9" s="460" t="s">
        <v>657</v>
      </c>
      <c r="J9" s="460" t="s">
        <v>654</v>
      </c>
      <c r="K9" s="461" t="s">
        <v>658</v>
      </c>
      <c r="L9" s="462" t="s">
        <v>656</v>
      </c>
    </row>
    <row r="10" spans="1:12" ht="15" customHeight="1">
      <c r="A10" s="6" t="s">
        <v>659</v>
      </c>
      <c r="B10" s="164" t="s">
        <v>660</v>
      </c>
      <c r="C10" s="164" t="s">
        <v>661</v>
      </c>
      <c r="D10" s="112" t="str">
        <f>IFERROR(VLOOKUP(C10,'[1]Base de Monedas'!A:B,2,0),"")</f>
        <v>Dólar estadounidense</v>
      </c>
      <c r="E10" s="113">
        <v>8669058141</v>
      </c>
      <c r="F10" s="112" t="s">
        <v>662</v>
      </c>
      <c r="H10" s="164" t="s">
        <v>660</v>
      </c>
      <c r="I10" s="164" t="s">
        <v>661</v>
      </c>
      <c r="J10" s="112" t="str">
        <f>IFERROR(VLOOKUP(C10,'[1]Base de Monedas'!A:B,2,0),"")</f>
        <v>Dólar estadounidense</v>
      </c>
      <c r="K10" s="113">
        <v>57969619308</v>
      </c>
      <c r="L10" s="112" t="s">
        <v>662</v>
      </c>
    </row>
    <row r="11" spans="1:12" ht="15" customHeight="1">
      <c r="A11" s="6" t="s">
        <v>663</v>
      </c>
      <c r="B11" s="164" t="s">
        <v>660</v>
      </c>
      <c r="C11" s="164" t="s">
        <v>661</v>
      </c>
      <c r="D11" s="112" t="str">
        <f>IFERROR(VLOOKUP(C11,'[1]Base de Monedas'!A:B,2,0),"")</f>
        <v>Dólar estadounidense</v>
      </c>
      <c r="E11" s="113">
        <v>22485182255</v>
      </c>
      <c r="F11" s="112" t="s">
        <v>664</v>
      </c>
      <c r="H11" s="164" t="s">
        <v>660</v>
      </c>
      <c r="I11" s="164" t="s">
        <v>661</v>
      </c>
      <c r="J11" s="112" t="str">
        <f>IFERROR(VLOOKUP(C11,'[1]Base de Monedas'!A:B,2,0),"")</f>
        <v>Dólar estadounidense</v>
      </c>
      <c r="K11" s="113">
        <v>54588144236</v>
      </c>
      <c r="L11" s="112" t="s">
        <v>664</v>
      </c>
    </row>
    <row r="12" spans="1:12" ht="15" customHeight="1">
      <c r="A12" s="6" t="s">
        <v>665</v>
      </c>
      <c r="B12" s="164" t="s">
        <v>660</v>
      </c>
      <c r="C12" s="164" t="s">
        <v>661</v>
      </c>
      <c r="D12" s="112" t="str">
        <f>IFERROR(VLOOKUP(C12,'[1]Base de Monedas'!A:B,2,0),"")</f>
        <v>Dólar estadounidense</v>
      </c>
      <c r="E12" s="113">
        <v>1552518286</v>
      </c>
      <c r="F12" s="112" t="s">
        <v>662</v>
      </c>
      <c r="H12" s="164"/>
      <c r="J12" s="112"/>
      <c r="K12" s="113">
        <v>0</v>
      </c>
      <c r="L12" s="112"/>
    </row>
    <row r="13" spans="1:12" ht="15" customHeight="1">
      <c r="A13" s="6" t="s">
        <v>666</v>
      </c>
      <c r="B13" s="164" t="s">
        <v>660</v>
      </c>
      <c r="C13" s="164" t="s">
        <v>661</v>
      </c>
      <c r="D13" s="112" t="str">
        <f>IFERROR(VLOOKUP(C13,'[1]Base de Monedas'!A:B,2,0),"")</f>
        <v>Dólar estadounidense</v>
      </c>
      <c r="E13" s="419">
        <v>53141058043</v>
      </c>
      <c r="F13" s="463" t="s">
        <v>662</v>
      </c>
      <c r="H13" s="467" t="s">
        <v>660</v>
      </c>
      <c r="I13" s="467" t="s">
        <v>661</v>
      </c>
      <c r="J13" s="463" t="str">
        <f>IFERROR(VLOOKUP(C13,'[1]Base de Monedas'!A:B,2,0),"")</f>
        <v>Dólar estadounidense</v>
      </c>
      <c r="K13" s="419">
        <v>46212818409</v>
      </c>
      <c r="L13" s="463" t="s">
        <v>662</v>
      </c>
    </row>
    <row r="14" spans="1:12" ht="15" customHeight="1">
      <c r="A14" s="111" t="s">
        <v>467</v>
      </c>
      <c r="B14" s="899"/>
      <c r="C14" s="899"/>
      <c r="D14" s="900" t="str">
        <f>IFERROR(VLOOKUP(C14,'[1]Base de Monedas'!A:B,2,0),"")</f>
        <v/>
      </c>
      <c r="E14" s="143">
        <f>SUM(E10:E13)</f>
        <v>85847816725</v>
      </c>
      <c r="J14" s="6" t="str">
        <f>IFERROR(VLOOKUP(I14,'[1]Base de Monedas'!A:B,2,0),"")</f>
        <v/>
      </c>
      <c r="K14" s="143">
        <f>SUM(K10:K13)</f>
        <v>158770581953</v>
      </c>
    </row>
    <row r="15" spans="1:12" ht="15" customHeight="1">
      <c r="A15" s="144"/>
      <c r="C15" s="164"/>
      <c r="D15" s="6" t="str">
        <f>IFERROR(VLOOKUP(C15,'[1]Base de Monedas'!A:B,2,0),"")</f>
        <v/>
      </c>
      <c r="E15" s="98"/>
      <c r="J15" s="6" t="str">
        <f>IFERROR(VLOOKUP(I15,'[1]Base de Monedas'!A:B,2,0),"")</f>
        <v/>
      </c>
      <c r="K15" s="98"/>
    </row>
    <row r="16" spans="1:12" ht="15" customHeight="1">
      <c r="A16" s="466" t="s">
        <v>667</v>
      </c>
      <c r="C16" s="164"/>
      <c r="D16" s="6" t="str">
        <f>IFERROR(VLOOKUP(C16,'[1]Base de Monedas'!A:B,2,0),"")</f>
        <v/>
      </c>
      <c r="E16" s="98"/>
      <c r="J16" s="6" t="str">
        <f>IFERROR(VLOOKUP(I16,'[1]Base de Monedas'!A:B,2,0),"")</f>
        <v/>
      </c>
    </row>
    <row r="17" spans="1:14" ht="15" customHeight="1">
      <c r="A17" s="6" t="s">
        <v>668</v>
      </c>
      <c r="B17" s="637">
        <v>44878</v>
      </c>
      <c r="C17" s="164" t="s">
        <v>669</v>
      </c>
      <c r="D17" s="594" t="s">
        <v>670</v>
      </c>
      <c r="E17" s="113">
        <v>13740000000</v>
      </c>
      <c r="F17" s="112" t="s">
        <v>662</v>
      </c>
      <c r="H17" s="637">
        <v>44878</v>
      </c>
      <c r="I17" s="164" t="s">
        <v>669</v>
      </c>
      <c r="J17" s="594" t="s">
        <v>670</v>
      </c>
      <c r="K17" s="113">
        <v>13740000000</v>
      </c>
      <c r="L17" s="112" t="s">
        <v>662</v>
      </c>
    </row>
    <row r="18" spans="1:14" ht="15" customHeight="1">
      <c r="A18" s="6" t="s">
        <v>668</v>
      </c>
      <c r="B18" s="637">
        <v>44890</v>
      </c>
      <c r="C18" s="164" t="s">
        <v>669</v>
      </c>
      <c r="D18" s="6" t="s">
        <v>670</v>
      </c>
      <c r="E18" s="113">
        <v>53000000000</v>
      </c>
      <c r="F18" s="112" t="s">
        <v>662</v>
      </c>
      <c r="H18" s="637">
        <v>44890</v>
      </c>
      <c r="I18" s="164" t="s">
        <v>669</v>
      </c>
      <c r="J18" s="6" t="s">
        <v>670</v>
      </c>
      <c r="K18" s="113">
        <v>53000000000</v>
      </c>
      <c r="L18" s="112" t="s">
        <v>662</v>
      </c>
    </row>
    <row r="19" spans="1:14" ht="15" customHeight="1">
      <c r="A19" s="6" t="s">
        <v>668</v>
      </c>
      <c r="B19" s="637">
        <v>44952</v>
      </c>
      <c r="C19" s="164" t="s">
        <v>669</v>
      </c>
      <c r="D19" s="6" t="s">
        <v>670</v>
      </c>
      <c r="E19" s="113">
        <v>11000000000</v>
      </c>
      <c r="F19" s="112" t="s">
        <v>662</v>
      </c>
      <c r="H19" s="637"/>
      <c r="K19" s="113">
        <v>0</v>
      </c>
      <c r="L19" s="112"/>
    </row>
    <row r="20" spans="1:14" ht="15" customHeight="1">
      <c r="A20" s="6" t="s">
        <v>671</v>
      </c>
      <c r="B20" s="638">
        <v>44929</v>
      </c>
      <c r="C20" s="467" t="s">
        <v>661</v>
      </c>
      <c r="D20" s="463" t="str">
        <f>IFERROR(VLOOKUP(C20,'[1]Base de Monedas'!A:B,2,0),"")</f>
        <v>Dólar estadounidense</v>
      </c>
      <c r="E20" s="465">
        <v>21270000000</v>
      </c>
      <c r="F20" s="463" t="s">
        <v>664</v>
      </c>
      <c r="H20" s="638"/>
      <c r="I20" s="467"/>
      <c r="J20" s="464"/>
      <c r="K20" s="465">
        <v>0</v>
      </c>
      <c r="L20" s="463"/>
    </row>
    <row r="21" spans="1:14" ht="15" hidden="1" customHeight="1">
      <c r="A21" s="6" t="s">
        <v>672</v>
      </c>
      <c r="B21" s="638"/>
      <c r="C21" s="467" t="s">
        <v>669</v>
      </c>
      <c r="D21" s="464" t="s">
        <v>670</v>
      </c>
      <c r="E21" s="465">
        <v>0</v>
      </c>
      <c r="F21" s="463" t="s">
        <v>664</v>
      </c>
      <c r="H21" s="638"/>
      <c r="I21" s="467"/>
      <c r="J21" s="464"/>
      <c r="K21" s="465">
        <v>0</v>
      </c>
      <c r="L21" s="463"/>
    </row>
    <row r="22" spans="1:14" ht="15" customHeight="1">
      <c r="A22" s="111" t="s">
        <v>166</v>
      </c>
      <c r="C22" s="164"/>
      <c r="E22" s="143">
        <f>SUM(E17:E21)</f>
        <v>99010000000</v>
      </c>
      <c r="J22" s="6" t="str">
        <f>IFERROR(VLOOKUP(I22,'[1]Base de Monedas'!G:H,2,0),"")</f>
        <v/>
      </c>
      <c r="K22" s="143">
        <f>SUM(K17:K21)</f>
        <v>66740000000</v>
      </c>
    </row>
    <row r="23" spans="1:14" ht="15" customHeight="1">
      <c r="A23" s="111"/>
      <c r="C23" s="164"/>
      <c r="E23" s="143"/>
    </row>
    <row r="24" spans="1:14" ht="15" customHeight="1">
      <c r="A24" s="111" t="s">
        <v>673</v>
      </c>
      <c r="C24" s="164"/>
      <c r="E24" s="143"/>
    </row>
    <row r="25" spans="1:14" ht="15" customHeight="1">
      <c r="A25" s="6" t="s">
        <v>674</v>
      </c>
      <c r="B25" s="164" t="s">
        <v>675</v>
      </c>
      <c r="C25" s="164" t="s">
        <v>669</v>
      </c>
      <c r="D25" s="6" t="s">
        <v>670</v>
      </c>
      <c r="E25" s="98">
        <v>439192375</v>
      </c>
      <c r="F25" s="164"/>
      <c r="H25" s="164" t="s">
        <v>676</v>
      </c>
      <c r="I25" s="164" t="s">
        <v>669</v>
      </c>
      <c r="J25" s="6" t="s">
        <v>670</v>
      </c>
      <c r="K25" s="98">
        <v>1991229041</v>
      </c>
      <c r="L25" s="164" t="s">
        <v>676</v>
      </c>
    </row>
    <row r="26" spans="1:14" ht="15" customHeight="1">
      <c r="A26" s="6" t="s">
        <v>674</v>
      </c>
      <c r="B26" s="164" t="s">
        <v>675</v>
      </c>
      <c r="C26" s="164" t="s">
        <v>661</v>
      </c>
      <c r="D26" s="112" t="str">
        <f>IFERROR(VLOOKUP(C26,'[1]Base de Monedas'!A:B,2,0),"")</f>
        <v>Dólar estadounidense</v>
      </c>
      <c r="E26" s="98">
        <v>174821862</v>
      </c>
      <c r="F26" s="164"/>
      <c r="H26" s="164" t="s">
        <v>676</v>
      </c>
      <c r="I26" s="164" t="s">
        <v>676</v>
      </c>
      <c r="J26" s="164" t="s">
        <v>676</v>
      </c>
      <c r="K26" s="98">
        <v>0</v>
      </c>
      <c r="L26" s="164" t="s">
        <v>676</v>
      </c>
    </row>
    <row r="27" spans="1:14" ht="15" customHeight="1">
      <c r="A27" s="6" t="s">
        <v>677</v>
      </c>
      <c r="B27" s="164" t="s">
        <v>675</v>
      </c>
      <c r="C27" s="164" t="s">
        <v>661</v>
      </c>
      <c r="D27" s="112" t="str">
        <f>IFERROR(VLOOKUP(C27,'[1]Base de Monedas'!A:B,2,0),"")</f>
        <v>Dólar estadounidense</v>
      </c>
      <c r="E27" s="98">
        <v>-142233493</v>
      </c>
      <c r="F27" s="164"/>
      <c r="H27" s="164" t="s">
        <v>676</v>
      </c>
      <c r="I27" s="164" t="s">
        <v>676</v>
      </c>
      <c r="J27" s="164" t="s">
        <v>676</v>
      </c>
      <c r="K27" s="98">
        <v>0</v>
      </c>
      <c r="L27" s="164" t="s">
        <v>676</v>
      </c>
    </row>
    <row r="28" spans="1:14" ht="15" customHeight="1">
      <c r="A28" s="6" t="s">
        <v>677</v>
      </c>
      <c r="B28" s="467" t="s">
        <v>675</v>
      </c>
      <c r="C28" s="467" t="s">
        <v>669</v>
      </c>
      <c r="D28" s="464" t="s">
        <v>670</v>
      </c>
      <c r="E28" s="465">
        <v>-342661559</v>
      </c>
      <c r="F28" s="467"/>
      <c r="H28" s="467" t="s">
        <v>676</v>
      </c>
      <c r="I28" s="467" t="s">
        <v>669</v>
      </c>
      <c r="J28" s="464" t="s">
        <v>670</v>
      </c>
      <c r="K28" s="465">
        <v>-1970288055</v>
      </c>
      <c r="L28" s="467" t="s">
        <v>676</v>
      </c>
      <c r="N28" s="98"/>
    </row>
    <row r="29" spans="1:14" ht="15" customHeight="1">
      <c r="A29" s="111" t="s">
        <v>166</v>
      </c>
      <c r="C29" s="164"/>
      <c r="E29" s="143">
        <f>SUM(E25:E28)</f>
        <v>129119185</v>
      </c>
      <c r="K29" s="143">
        <f>SUM(K25:K28)</f>
        <v>20940986</v>
      </c>
    </row>
    <row r="30" spans="1:14" ht="15" customHeight="1" thickBot="1">
      <c r="A30" s="111" t="s">
        <v>678</v>
      </c>
      <c r="B30" s="147"/>
      <c r="C30" s="147"/>
      <c r="D30" s="146" t="str">
        <f>IFERROR(VLOOKUP(C30,'[1]Base de Monedas'!A:B,2,0),"")</f>
        <v/>
      </c>
      <c r="E30" s="148">
        <f>+E14+E22+E29</f>
        <v>184986935910</v>
      </c>
      <c r="F30" s="146"/>
      <c r="H30" s="146"/>
      <c r="I30" s="147"/>
      <c r="J30" s="146"/>
      <c r="K30" s="148">
        <f>+K14+K22+K29</f>
        <v>225531522939</v>
      </c>
      <c r="L30" s="146"/>
    </row>
    <row r="31" spans="1:14" ht="15" customHeight="1" thickTop="1">
      <c r="A31" s="111"/>
      <c r="E31" s="98"/>
    </row>
    <row r="32" spans="1:14" ht="15" customHeight="1">
      <c r="E32" s="98"/>
      <c r="F32" s="98"/>
    </row>
    <row r="33" spans="4:12" ht="15" customHeight="1">
      <c r="E33" s="98"/>
      <c r="L33" s="98"/>
    </row>
    <row r="34" spans="4:12" ht="15" customHeight="1"/>
    <row r="35" spans="4:12" ht="15" customHeight="1">
      <c r="D35" s="143"/>
      <c r="E35" s="98"/>
    </row>
    <row r="36" spans="4:12" ht="15" customHeight="1">
      <c r="E36" s="98"/>
    </row>
    <row r="37" spans="4:12" ht="15" customHeight="1"/>
    <row r="38" spans="4:12" ht="15" customHeight="1"/>
    <row r="39" spans="4:12" ht="15" customHeight="1"/>
    <row r="40" spans="4:12" ht="15" customHeight="1"/>
    <row r="41" spans="4:12" ht="15" customHeight="1"/>
    <row r="42" spans="4:12" ht="15" customHeight="1"/>
    <row r="43" spans="4:12" ht="15" customHeight="1"/>
    <row r="44" spans="4:12" ht="15" customHeight="1"/>
    <row r="45" spans="4:12" ht="15" customHeight="1"/>
    <row r="46" spans="4:12" ht="15" customHeight="1"/>
    <row r="47" spans="4:12" ht="15" customHeight="1"/>
    <row r="48" spans="4: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sheetData>
  <hyperlinks>
    <hyperlink ref="B1" location="BG!A1" display="BG" xr:uid="{62B5F39B-5A05-4B6D-AD85-63FFCE82CC0E}"/>
  </hyperlinks>
  <printOptions horizontalCentered="1"/>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'U:\PARA C.N.V\2020\JUNIO\[Estados Financieros NGO SAECA al 30 de JUNIO de 2020.xlsm]Base de Monedas'!#REF!</xm:f>
          </x14:formula1>
          <xm:sqref>I28:I29 I10:I25 C10:C30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0"/>
  <dimension ref="A1:AH16"/>
  <sheetViews>
    <sheetView showGridLines="0" workbookViewId="0">
      <selection activeCell="B6" sqref="B6"/>
    </sheetView>
  </sheetViews>
  <sheetFormatPr baseColWidth="10" defaultColWidth="11.42578125" defaultRowHeight="15"/>
  <cols>
    <col min="1" max="1" width="44.7109375" style="9" customWidth="1"/>
    <col min="2" max="2" width="14" style="9" customWidth="1"/>
    <col min="3" max="3" width="13" style="9" customWidth="1"/>
    <col min="4" max="34" width="11.42578125" style="9"/>
  </cols>
  <sheetData>
    <row r="1" spans="1:34" ht="16.5" customHeight="1">
      <c r="A1" s="217" t="str">
        <f>Indice!C1</f>
        <v>NICOLAS GONZALEZ ODDONE S.A.E.C.A</v>
      </c>
      <c r="B1" s="632" t="s">
        <v>18</v>
      </c>
      <c r="C1" s="227"/>
      <c r="D1" s="16"/>
    </row>
    <row r="3" spans="1:34">
      <c r="A3" s="221" t="s">
        <v>679</v>
      </c>
      <c r="B3" s="235"/>
      <c r="C3" s="235"/>
      <c r="D3" s="235"/>
      <c r="T3"/>
      <c r="U3"/>
      <c r="V3"/>
      <c r="W3"/>
      <c r="X3"/>
      <c r="Y3"/>
      <c r="Z3"/>
      <c r="AA3"/>
      <c r="AB3"/>
      <c r="AC3"/>
      <c r="AD3"/>
      <c r="AE3"/>
      <c r="AF3"/>
      <c r="AG3"/>
      <c r="AH3"/>
    </row>
    <row r="4" spans="1:34">
      <c r="A4" s="987" t="s">
        <v>344</v>
      </c>
      <c r="B4" s="987"/>
    </row>
    <row r="5" spans="1:34" ht="23.25">
      <c r="A5" s="268" t="s">
        <v>620</v>
      </c>
      <c r="B5" s="996"/>
      <c r="C5" s="996"/>
    </row>
    <row r="6" spans="1:34" ht="12" customHeight="1">
      <c r="A6" s="272" t="s">
        <v>45</v>
      </c>
      <c r="B6" s="584">
        <v>44834</v>
      </c>
      <c r="C6" s="584">
        <v>44561</v>
      </c>
      <c r="D6" s="11"/>
      <c r="T6"/>
      <c r="U6"/>
      <c r="V6"/>
      <c r="W6"/>
      <c r="X6"/>
      <c r="Y6"/>
      <c r="Z6"/>
      <c r="AA6"/>
      <c r="AB6"/>
      <c r="AC6"/>
      <c r="AD6"/>
      <c r="AE6"/>
      <c r="AF6"/>
      <c r="AG6"/>
      <c r="AH6"/>
    </row>
    <row r="7" spans="1:34">
      <c r="A7" s="120" t="s">
        <v>680</v>
      </c>
      <c r="B7" s="120"/>
      <c r="C7" s="120"/>
      <c r="D7" s="12"/>
      <c r="T7"/>
      <c r="U7"/>
      <c r="V7"/>
      <c r="W7"/>
      <c r="X7"/>
      <c r="Y7"/>
      <c r="Z7"/>
      <c r="AA7"/>
      <c r="AB7"/>
      <c r="AC7"/>
      <c r="AD7"/>
      <c r="AE7"/>
      <c r="AF7"/>
      <c r="AG7"/>
      <c r="AH7"/>
    </row>
    <row r="8" spans="1:34">
      <c r="A8" s="122" t="s">
        <v>681</v>
      </c>
      <c r="B8" s="834"/>
      <c r="C8" s="834"/>
      <c r="D8" s="13"/>
      <c r="T8"/>
      <c r="U8"/>
      <c r="V8"/>
      <c r="W8"/>
      <c r="X8"/>
      <c r="Y8"/>
      <c r="Z8"/>
      <c r="AA8"/>
      <c r="AB8"/>
      <c r="AC8"/>
      <c r="AD8"/>
      <c r="AE8"/>
      <c r="AF8"/>
      <c r="AG8"/>
      <c r="AH8"/>
    </row>
    <row r="9" spans="1:34">
      <c r="A9" s="122" t="s">
        <v>682</v>
      </c>
      <c r="B9" s="834"/>
      <c r="C9" s="834"/>
      <c r="D9" s="13"/>
      <c r="T9"/>
      <c r="U9"/>
      <c r="V9"/>
      <c r="W9"/>
      <c r="X9"/>
      <c r="Y9"/>
      <c r="Z9"/>
      <c r="AA9"/>
      <c r="AB9"/>
      <c r="AC9"/>
      <c r="AD9"/>
      <c r="AE9"/>
      <c r="AF9"/>
      <c r="AG9"/>
      <c r="AH9"/>
    </row>
    <row r="10" spans="1:34">
      <c r="A10" s="122" t="s">
        <v>683</v>
      </c>
      <c r="B10" s="834"/>
      <c r="C10" s="834"/>
      <c r="D10" s="13"/>
      <c r="T10"/>
      <c r="U10"/>
      <c r="V10"/>
      <c r="W10"/>
      <c r="X10"/>
      <c r="Y10"/>
      <c r="Z10"/>
      <c r="AA10"/>
      <c r="AB10"/>
      <c r="AC10"/>
      <c r="AD10"/>
      <c r="AE10"/>
      <c r="AF10"/>
      <c r="AG10"/>
      <c r="AH10"/>
    </row>
    <row r="11" spans="1:34">
      <c r="A11" s="122" t="s">
        <v>684</v>
      </c>
      <c r="B11" s="834"/>
      <c r="C11" s="834"/>
      <c r="D11" s="13"/>
      <c r="T11"/>
      <c r="U11"/>
      <c r="V11"/>
      <c r="W11"/>
      <c r="X11"/>
      <c r="Y11"/>
      <c r="Z11"/>
      <c r="AA11"/>
      <c r="AB11"/>
      <c r="AC11"/>
      <c r="AD11"/>
      <c r="AE11"/>
      <c r="AF11"/>
      <c r="AG11"/>
      <c r="AH11"/>
    </row>
    <row r="12" spans="1:34">
      <c r="A12" s="126" t="s">
        <v>598</v>
      </c>
      <c r="B12" s="898">
        <f>SUM($B$7:B11)</f>
        <v>0</v>
      </c>
      <c r="C12" s="901">
        <f>SUM($C$7:C11)</f>
        <v>0</v>
      </c>
      <c r="T12"/>
      <c r="U12"/>
      <c r="V12"/>
      <c r="W12"/>
      <c r="X12"/>
      <c r="Y12"/>
      <c r="Z12"/>
      <c r="AA12"/>
      <c r="AB12"/>
      <c r="AC12"/>
      <c r="AD12"/>
      <c r="AE12"/>
      <c r="AF12"/>
      <c r="AG12"/>
      <c r="AH12"/>
    </row>
    <row r="13" spans="1:34">
      <c r="A13" s="121"/>
      <c r="B13" s="834"/>
      <c r="C13" s="834"/>
      <c r="D13" s="13"/>
      <c r="T13"/>
      <c r="U13"/>
      <c r="V13"/>
      <c r="W13"/>
      <c r="X13"/>
      <c r="Y13"/>
      <c r="Z13"/>
      <c r="AA13"/>
      <c r="AB13"/>
      <c r="AC13"/>
      <c r="AD13"/>
      <c r="AE13"/>
      <c r="AF13"/>
      <c r="AG13"/>
      <c r="AH13"/>
    </row>
    <row r="14" spans="1:34">
      <c r="A14" s="13"/>
      <c r="D14" s="13"/>
      <c r="T14"/>
      <c r="U14"/>
      <c r="V14"/>
      <c r="W14"/>
      <c r="X14"/>
      <c r="Y14"/>
      <c r="Z14"/>
      <c r="AA14"/>
      <c r="AB14"/>
      <c r="AC14"/>
      <c r="AD14"/>
      <c r="AE14"/>
      <c r="AF14"/>
      <c r="AG14"/>
      <c r="AH14"/>
    </row>
    <row r="15" spans="1:34">
      <c r="A15" s="14"/>
      <c r="D15" s="13"/>
      <c r="E15" s="12"/>
      <c r="F15" s="12"/>
      <c r="T15"/>
      <c r="U15"/>
      <c r="V15"/>
      <c r="W15"/>
      <c r="X15"/>
      <c r="Y15"/>
      <c r="Z15"/>
      <c r="AA15"/>
      <c r="AB15"/>
      <c r="AC15"/>
      <c r="AD15"/>
      <c r="AE15"/>
      <c r="AF15"/>
      <c r="AG15"/>
      <c r="AH15"/>
    </row>
    <row r="16" spans="1:34">
      <c r="T16"/>
      <c r="U16"/>
      <c r="V16"/>
      <c r="W16"/>
      <c r="X16"/>
      <c r="Y16"/>
      <c r="Z16"/>
      <c r="AA16"/>
      <c r="AB16"/>
      <c r="AC16"/>
      <c r="AD16"/>
      <c r="AE16"/>
      <c r="AF16"/>
      <c r="AG16"/>
      <c r="AH16"/>
    </row>
  </sheetData>
  <mergeCells count="2">
    <mergeCell ref="B5:C5"/>
    <mergeCell ref="A4:B4"/>
  </mergeCells>
  <hyperlinks>
    <hyperlink ref="B1" location="BG!A1" display="BG" xr:uid="{6B896528-8390-4229-A220-CF845D1F3BD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AG24"/>
  <sheetViews>
    <sheetView showGridLines="0" topLeftCell="A3" workbookViewId="0">
      <selection activeCell="B11" sqref="B11"/>
    </sheetView>
  </sheetViews>
  <sheetFormatPr baseColWidth="10" defaultColWidth="11.42578125" defaultRowHeight="12"/>
  <cols>
    <col min="1" max="1" width="33.28515625" style="94" customWidth="1"/>
    <col min="2" max="2" width="19.42578125" style="94" customWidth="1"/>
    <col min="3" max="3" width="18.85546875" style="94" customWidth="1"/>
    <col min="4" max="33" width="11.42578125" style="94"/>
    <col min="34" max="16384" width="11.42578125" style="6"/>
  </cols>
  <sheetData>
    <row r="1" spans="1:33" ht="18" customHeight="1">
      <c r="A1" s="217" t="str">
        <f>Indice!C1</f>
        <v>NICOLAS GONZALEZ ODDONE S.A.E.C.A</v>
      </c>
      <c r="B1" s="632" t="s">
        <v>18</v>
      </c>
      <c r="C1" s="227"/>
      <c r="F1" s="97"/>
    </row>
    <row r="3" spans="1:33" ht="15.75" customHeight="1">
      <c r="A3" s="221" t="s">
        <v>685</v>
      </c>
      <c r="B3" s="221"/>
      <c r="C3" s="221"/>
      <c r="D3" s="221"/>
      <c r="T3" s="6"/>
      <c r="U3" s="6"/>
      <c r="V3" s="6"/>
      <c r="W3" s="6"/>
      <c r="X3" s="6"/>
      <c r="Y3" s="6"/>
      <c r="Z3" s="6"/>
      <c r="AA3" s="6"/>
      <c r="AB3" s="6"/>
      <c r="AC3" s="6"/>
      <c r="AD3" s="6"/>
      <c r="AE3" s="6"/>
      <c r="AF3" s="6"/>
      <c r="AG3" s="6"/>
    </row>
    <row r="4" spans="1:33">
      <c r="A4" s="987" t="s">
        <v>344</v>
      </c>
      <c r="B4" s="987"/>
      <c r="C4" s="127"/>
      <c r="D4" s="127"/>
      <c r="T4" s="6"/>
      <c r="U4" s="6"/>
      <c r="V4" s="6"/>
      <c r="W4" s="6"/>
      <c r="X4" s="6"/>
      <c r="Y4" s="6"/>
      <c r="Z4" s="6"/>
      <c r="AA4" s="6"/>
      <c r="AB4" s="6"/>
      <c r="AC4" s="6"/>
      <c r="AD4" s="6"/>
      <c r="AE4" s="6"/>
      <c r="AF4" s="6"/>
      <c r="AG4" s="6"/>
    </row>
    <row r="5" spans="1:33">
      <c r="A5" s="223"/>
      <c r="B5" s="223"/>
      <c r="C5" s="127"/>
      <c r="D5" s="127"/>
      <c r="T5" s="6"/>
      <c r="U5" s="6"/>
      <c r="V5" s="6"/>
      <c r="W5" s="6"/>
      <c r="X5" s="6"/>
      <c r="Y5" s="6"/>
      <c r="Z5" s="6"/>
      <c r="AA5" s="6"/>
      <c r="AB5" s="6"/>
      <c r="AC5" s="6"/>
      <c r="AD5" s="6"/>
      <c r="AE5" s="6"/>
      <c r="AF5" s="6"/>
      <c r="AG5" s="6"/>
    </row>
    <row r="6" spans="1:33">
      <c r="A6" s="128"/>
      <c r="B6" s="986"/>
      <c r="C6" s="986"/>
    </row>
    <row r="7" spans="1:33" ht="12.75">
      <c r="A7" s="902" t="s">
        <v>345</v>
      </c>
      <c r="B7" s="586">
        <v>44834</v>
      </c>
      <c r="C7" s="586">
        <v>44561</v>
      </c>
    </row>
    <row r="8" spans="1:33">
      <c r="A8" s="128" t="s">
        <v>602</v>
      </c>
      <c r="B8" s="271"/>
      <c r="C8" s="271"/>
    </row>
    <row r="9" spans="1:33">
      <c r="A9" s="94" t="s">
        <v>686</v>
      </c>
      <c r="B9" s="157">
        <v>633144788</v>
      </c>
      <c r="C9" s="157">
        <v>603133784</v>
      </c>
    </row>
    <row r="10" spans="1:33">
      <c r="A10" s="94" t="s">
        <v>687</v>
      </c>
      <c r="B10" s="157">
        <v>74488266</v>
      </c>
      <c r="C10" s="157">
        <v>73095191</v>
      </c>
    </row>
    <row r="11" spans="1:33">
      <c r="A11" s="94" t="s">
        <v>688</v>
      </c>
      <c r="B11" s="157">
        <v>1438687933</v>
      </c>
      <c r="C11" s="157">
        <v>0</v>
      </c>
    </row>
    <row r="12" spans="1:33">
      <c r="A12" s="94" t="s">
        <v>689</v>
      </c>
      <c r="B12" s="157">
        <v>2010092292</v>
      </c>
      <c r="C12" s="157">
        <v>2500000000</v>
      </c>
    </row>
    <row r="13" spans="1:33" hidden="1">
      <c r="A13" s="94" t="s">
        <v>690</v>
      </c>
      <c r="B13" s="113">
        <v>0</v>
      </c>
      <c r="C13" s="157">
        <v>0</v>
      </c>
    </row>
    <row r="14" spans="1:33" ht="12.75" thickBot="1">
      <c r="A14" s="126" t="s">
        <v>166</v>
      </c>
      <c r="B14" s="897">
        <f>SUM($B$9:B13)</f>
        <v>4156413279</v>
      </c>
      <c r="C14" s="897">
        <f>SUM($C$9:C13)</f>
        <v>3176228975</v>
      </c>
    </row>
    <row r="15" spans="1:33" ht="12.75" thickTop="1">
      <c r="B15" s="157"/>
      <c r="C15" s="157"/>
    </row>
    <row r="16" spans="1:33">
      <c r="A16" s="129" t="s">
        <v>614</v>
      </c>
      <c r="B16" s="269"/>
      <c r="C16" s="269"/>
    </row>
    <row r="17" spans="1:3">
      <c r="A17" s="94" t="s">
        <v>691</v>
      </c>
      <c r="B17" s="157">
        <v>41327569</v>
      </c>
      <c r="C17" s="157">
        <v>35052069</v>
      </c>
    </row>
    <row r="18" spans="1:3">
      <c r="A18" s="94" t="s">
        <v>692</v>
      </c>
      <c r="B18" s="157">
        <v>46386</v>
      </c>
      <c r="C18" s="157">
        <v>0</v>
      </c>
    </row>
    <row r="19" spans="1:3">
      <c r="A19" s="94" t="s">
        <v>693</v>
      </c>
      <c r="B19" s="747">
        <v>99591427</v>
      </c>
      <c r="C19" s="747">
        <v>0</v>
      </c>
    </row>
    <row r="20" spans="1:3">
      <c r="A20" s="126" t="s">
        <v>467</v>
      </c>
      <c r="B20" s="542">
        <f>SUM(B17:B19)</f>
        <v>140965382</v>
      </c>
      <c r="C20" s="542">
        <f>SUM(C17)</f>
        <v>35052069</v>
      </c>
    </row>
    <row r="21" spans="1:3" ht="12.75" thickBot="1">
      <c r="A21" s="126" t="s">
        <v>598</v>
      </c>
      <c r="B21" s="348">
        <f>+B14+B20</f>
        <v>4297378661</v>
      </c>
      <c r="C21" s="348">
        <f>+C14+C20</f>
        <v>3211281044</v>
      </c>
    </row>
    <row r="22" spans="1:3" ht="12.75" thickTop="1"/>
    <row r="24" spans="1:3">
      <c r="B24" s="95"/>
    </row>
  </sheetData>
  <mergeCells count="2">
    <mergeCell ref="B6:C6"/>
    <mergeCell ref="A4:B4"/>
  </mergeCells>
  <hyperlinks>
    <hyperlink ref="B1" location="BG!A1" display="BG" xr:uid="{250B0BA6-9290-4D50-AFF2-083BF3B8566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O14"/>
  <sheetViews>
    <sheetView showGridLines="0" workbookViewId="0">
      <selection activeCell="B1" sqref="B1"/>
    </sheetView>
  </sheetViews>
  <sheetFormatPr baseColWidth="10" defaultColWidth="11.42578125" defaultRowHeight="15"/>
  <cols>
    <col min="1" max="1" width="33" style="9" customWidth="1"/>
    <col min="2" max="2" width="18.5703125" style="9" customWidth="1"/>
    <col min="3" max="3" width="20" style="9" customWidth="1"/>
    <col min="4" max="15" width="11.42578125" style="9"/>
  </cols>
  <sheetData>
    <row r="1" spans="1:6" ht="19.5" customHeight="1">
      <c r="A1" s="217" t="str">
        <f>Indice!C1</f>
        <v>NICOLAS GONZALEZ ODDONE S.A.E.C.A</v>
      </c>
      <c r="B1" s="631" t="s">
        <v>18</v>
      </c>
      <c r="C1" s="234"/>
      <c r="F1" s="16"/>
    </row>
    <row r="3" spans="1:6" ht="20.25" customHeight="1">
      <c r="A3" s="221" t="s">
        <v>694</v>
      </c>
      <c r="B3" s="221"/>
      <c r="C3" s="221"/>
    </row>
    <row r="4" spans="1:6" s="3" customFormat="1">
      <c r="A4" s="987" t="s">
        <v>344</v>
      </c>
      <c r="B4" s="987"/>
      <c r="C4" s="17"/>
    </row>
    <row r="5" spans="1:6">
      <c r="B5" s="996"/>
      <c r="C5" s="996"/>
    </row>
    <row r="6" spans="1:6" ht="12" customHeight="1">
      <c r="A6" s="903" t="s">
        <v>695</v>
      </c>
      <c r="B6" s="586">
        <v>44834</v>
      </c>
      <c r="C6" s="586">
        <v>44561</v>
      </c>
    </row>
    <row r="7" spans="1:6" ht="13.5" customHeight="1">
      <c r="A7" s="137" t="s">
        <v>696</v>
      </c>
      <c r="B7" s="468">
        <v>2464528333</v>
      </c>
      <c r="C7" s="468">
        <v>0</v>
      </c>
    </row>
    <row r="8" spans="1:6" ht="13.5" customHeight="1">
      <c r="A8" s="137" t="s">
        <v>697</v>
      </c>
      <c r="B8" s="468">
        <v>46695388</v>
      </c>
      <c r="C8" s="468">
        <v>66092593</v>
      </c>
    </row>
    <row r="9" spans="1:6" ht="13.5" hidden="1" customHeight="1">
      <c r="A9" s="137" t="s">
        <v>698</v>
      </c>
      <c r="B9" s="468">
        <v>0</v>
      </c>
      <c r="C9" s="468">
        <v>0</v>
      </c>
    </row>
    <row r="10" spans="1:6" ht="13.5" customHeight="1">
      <c r="A10" s="137" t="s">
        <v>699</v>
      </c>
      <c r="B10" s="468">
        <v>359268112</v>
      </c>
      <c r="C10" s="468">
        <v>275819426</v>
      </c>
    </row>
    <row r="11" spans="1:6" ht="13.5" hidden="1" customHeight="1">
      <c r="A11" s="137" t="s">
        <v>700</v>
      </c>
      <c r="B11" s="468">
        <v>269040</v>
      </c>
      <c r="C11" s="468">
        <v>0</v>
      </c>
    </row>
    <row r="12" spans="1:6" ht="13.5" hidden="1" customHeight="1">
      <c r="A12" s="137" t="s">
        <v>701</v>
      </c>
      <c r="B12" s="468">
        <v>0</v>
      </c>
      <c r="C12" s="468">
        <v>0</v>
      </c>
    </row>
    <row r="13" spans="1:6" ht="15.75" thickBot="1">
      <c r="A13" s="126" t="s">
        <v>702</v>
      </c>
      <c r="B13" s="904">
        <f>SUM(B7:B12)</f>
        <v>2870760873</v>
      </c>
      <c r="C13" s="904">
        <f>SUM(C7:C12)</f>
        <v>341912019</v>
      </c>
    </row>
    <row r="14" spans="1:6" ht="15.75" thickTop="1">
      <c r="B14" s="62"/>
      <c r="C14" s="62"/>
    </row>
  </sheetData>
  <mergeCells count="2">
    <mergeCell ref="B5:C5"/>
    <mergeCell ref="A4:B4"/>
  </mergeCells>
  <hyperlinks>
    <hyperlink ref="B1" location="BG!A1" display="BG" xr:uid="{CFBA7ADE-1714-4BCE-857A-86433EE0A36B}"/>
  </hyperlinks>
  <pageMargins left="0.7" right="0.7" top="0.75" bottom="0.75" header="0.3" footer="0.3"/>
  <pageSetup orientation="portrait" verticalDpi="0" r:id="rId1"/>
  <ignoredErrors>
    <ignoredError sqref="B13:C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M70"/>
  <sheetViews>
    <sheetView showGridLines="0" topLeftCell="A17" workbookViewId="0">
      <selection activeCell="B15" sqref="B15"/>
    </sheetView>
  </sheetViews>
  <sheetFormatPr baseColWidth="10" defaultColWidth="11.42578125" defaultRowHeight="12"/>
  <cols>
    <col min="1" max="1" width="34.42578125" style="94" customWidth="1"/>
    <col min="2" max="2" width="15" style="94" customWidth="1"/>
    <col min="3" max="3" width="15.140625" style="94" customWidth="1"/>
    <col min="4" max="4" width="11.42578125" style="94"/>
    <col min="5" max="6" width="13.28515625" style="94" bestFit="1" customWidth="1"/>
    <col min="7" max="13" width="11.42578125" style="94"/>
    <col min="14" max="16384" width="11.42578125" style="6"/>
  </cols>
  <sheetData>
    <row r="1" spans="1:13" ht="19.5" customHeight="1">
      <c r="A1" s="217" t="str">
        <f>Indice!C1</f>
        <v>NICOLAS GONZALEZ ODDONE S.A.E.C.A</v>
      </c>
      <c r="B1" s="632" t="s">
        <v>18</v>
      </c>
      <c r="C1" s="227"/>
      <c r="D1" s="97"/>
    </row>
    <row r="3" spans="1:13" ht="17.25" customHeight="1">
      <c r="A3" s="955" t="s">
        <v>703</v>
      </c>
      <c r="B3" s="955"/>
      <c r="C3" s="955"/>
      <c r="D3" s="955"/>
    </row>
    <row r="4" spans="1:13">
      <c r="A4" s="2" t="s">
        <v>344</v>
      </c>
      <c r="B4" s="2"/>
      <c r="C4" s="87"/>
      <c r="D4" s="87"/>
    </row>
    <row r="5" spans="1:13" ht="8.25" customHeight="1">
      <c r="A5" s="2"/>
      <c r="B5" s="2"/>
      <c r="C5" s="87"/>
      <c r="D5" s="87"/>
    </row>
    <row r="6" spans="1:13">
      <c r="A6" s="126" t="s">
        <v>704</v>
      </c>
      <c r="B6" s="2"/>
      <c r="C6" s="2"/>
    </row>
    <row r="7" spans="1:13" ht="12.75">
      <c r="A7" s="449" t="s">
        <v>345</v>
      </c>
      <c r="B7" s="585">
        <v>44834</v>
      </c>
      <c r="C7" s="585">
        <v>44561</v>
      </c>
    </row>
    <row r="8" spans="1:13">
      <c r="A8" s="140" t="s">
        <v>602</v>
      </c>
      <c r="B8" s="169"/>
      <c r="C8" s="169"/>
    </row>
    <row r="9" spans="1:13">
      <c r="A9" s="137" t="s">
        <v>705</v>
      </c>
      <c r="B9" s="95">
        <v>3295102024</v>
      </c>
      <c r="C9" s="95">
        <v>6209123832</v>
      </c>
      <c r="E9" s="95"/>
    </row>
    <row r="10" spans="1:13">
      <c r="A10" s="137" t="s">
        <v>706</v>
      </c>
      <c r="B10" s="95">
        <v>4252377943</v>
      </c>
      <c r="C10" s="95">
        <v>2646520366</v>
      </c>
    </row>
    <row r="11" spans="1:13">
      <c r="A11" s="137" t="s">
        <v>707</v>
      </c>
      <c r="B11" s="95">
        <v>18859971</v>
      </c>
      <c r="C11" s="95">
        <v>133399063</v>
      </c>
    </row>
    <row r="12" spans="1:13">
      <c r="A12" s="137" t="s">
        <v>708</v>
      </c>
      <c r="B12" s="95">
        <v>786264706</v>
      </c>
      <c r="C12" s="95">
        <v>361915658</v>
      </c>
    </row>
    <row r="13" spans="1:13">
      <c r="A13" s="137" t="s">
        <v>709</v>
      </c>
      <c r="B13" s="95">
        <v>35098316</v>
      </c>
      <c r="C13" s="95">
        <v>169616364</v>
      </c>
    </row>
    <row r="14" spans="1:13" hidden="1">
      <c r="A14" s="6" t="s">
        <v>710</v>
      </c>
      <c r="B14" s="95">
        <v>0</v>
      </c>
      <c r="C14" s="95">
        <v>0</v>
      </c>
    </row>
    <row r="15" spans="1:13">
      <c r="A15" s="137" t="s">
        <v>711</v>
      </c>
      <c r="B15" s="95">
        <v>16363634</v>
      </c>
      <c r="C15" s="95">
        <v>0</v>
      </c>
    </row>
    <row r="16" spans="1:13" hidden="1">
      <c r="A16" s="372" t="s">
        <v>712</v>
      </c>
      <c r="B16" s="98"/>
      <c r="C16" s="98">
        <v>0</v>
      </c>
      <c r="D16" s="98"/>
      <c r="E16" s="6"/>
      <c r="F16" s="6"/>
      <c r="G16" s="6"/>
      <c r="H16" s="6"/>
      <c r="I16" s="6"/>
      <c r="J16" s="6"/>
      <c r="K16" s="6"/>
      <c r="L16" s="6"/>
      <c r="M16" s="6"/>
    </row>
    <row r="17" spans="1:5">
      <c r="A17" s="137" t="s">
        <v>713</v>
      </c>
      <c r="B17" s="95">
        <v>95882156</v>
      </c>
      <c r="C17" s="95">
        <v>53832701</v>
      </c>
    </row>
    <row r="18" spans="1:5">
      <c r="A18" s="137" t="s">
        <v>714</v>
      </c>
      <c r="B18" s="95">
        <v>2381798</v>
      </c>
      <c r="C18" s="95">
        <v>59018967</v>
      </c>
    </row>
    <row r="19" spans="1:5">
      <c r="A19" s="137" t="s">
        <v>715</v>
      </c>
      <c r="B19" s="95">
        <v>119750000</v>
      </c>
      <c r="C19" s="95">
        <v>137854817</v>
      </c>
      <c r="E19" s="95"/>
    </row>
    <row r="20" spans="1:5">
      <c r="A20" s="137" t="s">
        <v>716</v>
      </c>
      <c r="B20" s="95">
        <v>317928904</v>
      </c>
      <c r="C20" s="95">
        <v>496286957</v>
      </c>
    </row>
    <row r="21" spans="1:5">
      <c r="A21" s="137" t="s">
        <v>427</v>
      </c>
      <c r="B21" s="95">
        <v>90129040</v>
      </c>
      <c r="C21" s="95"/>
    </row>
    <row r="22" spans="1:5">
      <c r="A22" s="137" t="s">
        <v>717</v>
      </c>
      <c r="B22" s="95">
        <v>-679192641</v>
      </c>
      <c r="C22" s="95">
        <v>-332588754</v>
      </c>
    </row>
    <row r="23" spans="1:5">
      <c r="A23" s="137" t="s">
        <v>718</v>
      </c>
      <c r="B23" s="95">
        <v>-45778633</v>
      </c>
      <c r="C23" s="95">
        <v>-10583309</v>
      </c>
    </row>
    <row r="24" spans="1:5">
      <c r="A24" s="137" t="s">
        <v>719</v>
      </c>
      <c r="B24" s="569">
        <v>325000</v>
      </c>
      <c r="C24" s="569">
        <v>808000</v>
      </c>
    </row>
    <row r="25" spans="1:5">
      <c r="A25" s="138" t="s">
        <v>166</v>
      </c>
      <c r="B25" s="130">
        <f>SUM(B9:B24)</f>
        <v>8305492218</v>
      </c>
      <c r="C25" s="130">
        <f>SUM(C9:C24)</f>
        <v>9925204662</v>
      </c>
      <c r="E25" s="95"/>
    </row>
    <row r="26" spans="1:5">
      <c r="A26" s="138"/>
      <c r="B26" s="130"/>
      <c r="C26" s="95"/>
    </row>
    <row r="27" spans="1:5">
      <c r="A27" s="138" t="s">
        <v>720</v>
      </c>
      <c r="B27" s="95"/>
      <c r="C27" s="95"/>
    </row>
    <row r="28" spans="1:5">
      <c r="A28" s="137" t="s">
        <v>721</v>
      </c>
      <c r="B28" s="95">
        <v>8508000</v>
      </c>
      <c r="C28" s="95">
        <v>317856000</v>
      </c>
    </row>
    <row r="29" spans="1:5">
      <c r="A29" s="137" t="s">
        <v>722</v>
      </c>
      <c r="B29" s="95">
        <v>3350794194</v>
      </c>
      <c r="C29" s="95">
        <v>2825422466</v>
      </c>
    </row>
    <row r="30" spans="1:5">
      <c r="A30" s="137" t="s">
        <v>723</v>
      </c>
      <c r="B30" s="95">
        <v>1526973087</v>
      </c>
      <c r="C30" s="95">
        <v>33680701298</v>
      </c>
    </row>
    <row r="31" spans="1:5">
      <c r="A31" s="137" t="s">
        <v>724</v>
      </c>
      <c r="B31" s="95">
        <v>424093313</v>
      </c>
      <c r="C31" s="95">
        <v>211375478</v>
      </c>
    </row>
    <row r="32" spans="1:5" ht="12.75" customHeight="1">
      <c r="A32" s="137" t="s">
        <v>725</v>
      </c>
      <c r="B32" s="95">
        <v>8862500</v>
      </c>
      <c r="C32" s="95">
        <v>60096800</v>
      </c>
    </row>
    <row r="33" spans="1:6">
      <c r="A33" s="137" t="s">
        <v>726</v>
      </c>
      <c r="B33" s="95">
        <v>109290811</v>
      </c>
      <c r="C33" s="95">
        <v>276988825</v>
      </c>
    </row>
    <row r="34" spans="1:6">
      <c r="A34" s="137" t="s">
        <v>727</v>
      </c>
      <c r="B34" s="95">
        <v>-53832416</v>
      </c>
      <c r="C34" s="95">
        <v>0</v>
      </c>
    </row>
    <row r="35" spans="1:6">
      <c r="A35" s="137" t="s">
        <v>728</v>
      </c>
      <c r="B35" s="569">
        <v>-258607871</v>
      </c>
      <c r="C35" s="95">
        <v>-83693274</v>
      </c>
    </row>
    <row r="36" spans="1:6">
      <c r="A36" s="126" t="s">
        <v>166</v>
      </c>
      <c r="B36" s="732">
        <f>SUM($B$28:B35)</f>
        <v>5116081618</v>
      </c>
      <c r="C36" s="732">
        <f>SUM($C$28:C35)</f>
        <v>37288747593</v>
      </c>
      <c r="E36" s="95"/>
    </row>
    <row r="37" spans="1:6">
      <c r="A37" s="126" t="s">
        <v>729</v>
      </c>
      <c r="B37" s="139">
        <f>+B25+B36</f>
        <v>13421573836</v>
      </c>
      <c r="C37" s="139">
        <f>+C25+C36</f>
        <v>47213952255</v>
      </c>
      <c r="F37" s="95"/>
    </row>
    <row r="38" spans="1:6">
      <c r="A38" s="126"/>
      <c r="C38" s="139"/>
    </row>
    <row r="39" spans="1:6">
      <c r="A39" s="126"/>
      <c r="B39" s="139"/>
      <c r="C39" s="139"/>
    </row>
    <row r="40" spans="1:6">
      <c r="B40" s="95"/>
      <c r="C40" s="95"/>
    </row>
    <row r="41" spans="1:6">
      <c r="A41" s="129" t="s">
        <v>614</v>
      </c>
      <c r="B41" s="95"/>
      <c r="C41" s="95"/>
    </row>
    <row r="42" spans="1:6">
      <c r="A42" s="126" t="s">
        <v>704</v>
      </c>
      <c r="B42" s="95"/>
      <c r="C42" s="95"/>
    </row>
    <row r="43" spans="1:6">
      <c r="A43" s="94" t="s">
        <v>730</v>
      </c>
      <c r="B43" s="95">
        <v>13680000</v>
      </c>
      <c r="C43" s="95">
        <v>6400000</v>
      </c>
    </row>
    <row r="44" spans="1:6">
      <c r="A44" s="94" t="s">
        <v>731</v>
      </c>
      <c r="B44" s="95">
        <v>359860489</v>
      </c>
      <c r="C44" s="95">
        <v>6997200</v>
      </c>
    </row>
    <row r="45" spans="1:6">
      <c r="A45" s="94" t="s">
        <v>732</v>
      </c>
      <c r="B45" s="569">
        <v>-12544139</v>
      </c>
      <c r="C45" s="95">
        <v>-9180465</v>
      </c>
    </row>
    <row r="46" spans="1:6">
      <c r="A46" s="126" t="s">
        <v>166</v>
      </c>
      <c r="B46" s="139">
        <f>SUM($B$43:B45)</f>
        <v>360996350</v>
      </c>
      <c r="C46" s="905">
        <f>SUM($C$43:C45)</f>
        <v>4216735</v>
      </c>
    </row>
    <row r="47" spans="1:6">
      <c r="B47" s="95"/>
      <c r="C47" s="95"/>
    </row>
    <row r="48" spans="1:6">
      <c r="A48" s="138" t="s">
        <v>720</v>
      </c>
      <c r="B48" s="95"/>
      <c r="C48" s="95"/>
    </row>
    <row r="49" spans="1:5">
      <c r="A49" s="94" t="s">
        <v>733</v>
      </c>
      <c r="B49" s="569">
        <v>4206908</v>
      </c>
      <c r="C49" s="95">
        <v>0</v>
      </c>
    </row>
    <row r="50" spans="1:5">
      <c r="A50" s="126" t="s">
        <v>166</v>
      </c>
      <c r="B50" s="732">
        <f>SUM($B$49:B49)</f>
        <v>4206908</v>
      </c>
      <c r="C50" s="732">
        <f>SUM($C$49:C49)</f>
        <v>0</v>
      </c>
    </row>
    <row r="51" spans="1:5">
      <c r="A51" s="126" t="s">
        <v>734</v>
      </c>
      <c r="B51" s="130">
        <f>+B46+B50</f>
        <v>365203258</v>
      </c>
      <c r="C51" s="130">
        <f>+C46+C50</f>
        <v>4216735</v>
      </c>
      <c r="E51" s="95"/>
    </row>
    <row r="52" spans="1:5" ht="12.75" thickBot="1">
      <c r="A52" s="126" t="s">
        <v>735</v>
      </c>
      <c r="B52" s="808">
        <f>+B51+B37</f>
        <v>13786777094</v>
      </c>
      <c r="C52" s="808">
        <f>+C51+C37</f>
        <v>47218168990</v>
      </c>
    </row>
    <row r="53" spans="1:5" ht="12.75" thickTop="1">
      <c r="B53" s="95"/>
      <c r="C53" s="95"/>
    </row>
    <row r="54" spans="1:5">
      <c r="B54" s="95"/>
      <c r="C54" s="95"/>
    </row>
    <row r="55" spans="1:5">
      <c r="B55" s="95"/>
      <c r="C55" s="95"/>
    </row>
    <row r="56" spans="1:5">
      <c r="B56" s="95"/>
      <c r="C56" s="95"/>
    </row>
    <row r="57" spans="1:5">
      <c r="B57" s="95"/>
      <c r="C57" s="95"/>
    </row>
    <row r="58" spans="1:5">
      <c r="B58" s="95"/>
      <c r="C58" s="95"/>
    </row>
    <row r="59" spans="1:5">
      <c r="B59" s="95"/>
      <c r="C59" s="95"/>
    </row>
    <row r="60" spans="1:5">
      <c r="B60" s="95"/>
      <c r="C60" s="95"/>
    </row>
    <row r="61" spans="1:5">
      <c r="B61" s="95"/>
      <c r="C61" s="95"/>
    </row>
    <row r="62" spans="1:5">
      <c r="B62" s="95"/>
      <c r="C62" s="95"/>
    </row>
    <row r="63" spans="1:5">
      <c r="B63" s="95"/>
      <c r="C63" s="95"/>
    </row>
    <row r="64" spans="1:5">
      <c r="B64" s="95"/>
      <c r="C64" s="95"/>
    </row>
    <row r="65" spans="2:3">
      <c r="B65" s="95"/>
      <c r="C65" s="95"/>
    </row>
    <row r="66" spans="2:3">
      <c r="B66" s="95"/>
      <c r="C66" s="95"/>
    </row>
    <row r="67" spans="2:3">
      <c r="B67" s="95"/>
      <c r="C67" s="95"/>
    </row>
    <row r="68" spans="2:3">
      <c r="B68" s="95"/>
      <c r="C68" s="95"/>
    </row>
    <row r="69" spans="2:3">
      <c r="B69" s="95"/>
    </row>
    <row r="70" spans="2:3">
      <c r="B70" s="95"/>
    </row>
  </sheetData>
  <mergeCells count="1">
    <mergeCell ref="A3:D3"/>
  </mergeCells>
  <hyperlinks>
    <hyperlink ref="B1" location="BG!A1" display="BG" xr:uid="{362C1FAE-8266-4CAF-A137-1961AE6D591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F37"/>
  <sheetViews>
    <sheetView showGridLines="0" workbookViewId="0">
      <selection activeCell="B1" sqref="B1"/>
    </sheetView>
  </sheetViews>
  <sheetFormatPr baseColWidth="10" defaultColWidth="11.42578125" defaultRowHeight="15"/>
  <cols>
    <col min="1" max="1" width="40.85546875" customWidth="1"/>
    <col min="2" max="2" width="17.140625" customWidth="1"/>
    <col min="3" max="3" width="16.7109375" customWidth="1"/>
    <col min="4" max="4" width="5.140625" customWidth="1"/>
    <col min="6" max="6" width="13.7109375" bestFit="1" customWidth="1"/>
  </cols>
  <sheetData>
    <row r="1" spans="1:4" ht="20.25" customHeight="1">
      <c r="A1" s="217" t="str">
        <f>Indice!C1</f>
        <v>NICOLAS GONZALEZ ODDONE S.A.E.C.A</v>
      </c>
      <c r="B1" s="630" t="s">
        <v>18</v>
      </c>
      <c r="C1" s="226"/>
      <c r="D1" s="15"/>
    </row>
    <row r="3" spans="1:4" ht="18" customHeight="1">
      <c r="A3" s="221" t="s">
        <v>736</v>
      </c>
      <c r="B3" s="221"/>
      <c r="C3" s="221"/>
    </row>
    <row r="4" spans="1:4">
      <c r="A4" s="987" t="s">
        <v>344</v>
      </c>
      <c r="B4" s="987"/>
    </row>
    <row r="5" spans="1:4" ht="4.5" customHeight="1">
      <c r="A5" s="149"/>
      <c r="B5" s="149"/>
    </row>
    <row r="6" spans="1:4">
      <c r="A6" s="209" t="s">
        <v>737</v>
      </c>
    </row>
    <row r="7" spans="1:4" ht="12.75" customHeight="1">
      <c r="A7" s="906" t="s">
        <v>695</v>
      </c>
      <c r="B7" s="585">
        <v>44834</v>
      </c>
      <c r="C7" s="585">
        <v>44561</v>
      </c>
    </row>
    <row r="8" spans="1:4">
      <c r="A8" s="469" t="s">
        <v>738</v>
      </c>
      <c r="B8" s="123">
        <v>4722125</v>
      </c>
      <c r="C8" s="123">
        <v>0</v>
      </c>
    </row>
    <row r="9" spans="1:4">
      <c r="A9" s="469" t="s">
        <v>739</v>
      </c>
      <c r="B9" s="123">
        <v>85364000</v>
      </c>
      <c r="C9" s="123">
        <v>77064000</v>
      </c>
    </row>
    <row r="10" spans="1:4">
      <c r="A10" s="469" t="s">
        <v>740</v>
      </c>
      <c r="B10" s="123">
        <v>0</v>
      </c>
      <c r="C10" s="123">
        <v>4336678</v>
      </c>
    </row>
    <row r="11" spans="1:4">
      <c r="A11" s="469" t="s">
        <v>741</v>
      </c>
      <c r="B11" s="123">
        <v>454582973</v>
      </c>
      <c r="C11" s="123">
        <f>4193400344+22720406</f>
        <v>4216120750</v>
      </c>
    </row>
    <row r="12" spans="1:4">
      <c r="A12" s="469" t="s">
        <v>742</v>
      </c>
      <c r="B12" s="443">
        <v>0</v>
      </c>
      <c r="C12" s="443">
        <v>28517954</v>
      </c>
    </row>
    <row r="13" spans="1:4" hidden="1">
      <c r="A13" s="469" t="s">
        <v>743</v>
      </c>
      <c r="B13" s="443">
        <v>0</v>
      </c>
      <c r="C13" s="443">
        <v>0</v>
      </c>
    </row>
    <row r="14" spans="1:4">
      <c r="A14" s="470" t="s">
        <v>467</v>
      </c>
      <c r="B14" s="124">
        <f>SUM(B8:B13)</f>
        <v>544669098</v>
      </c>
      <c r="C14" s="124">
        <f>SUM(C8:C12)</f>
        <v>4326039382</v>
      </c>
      <c r="D14" s="8"/>
    </row>
    <row r="15" spans="1:4">
      <c r="A15" s="150"/>
      <c r="B15" s="71"/>
      <c r="C15" s="71"/>
      <c r="D15" s="8"/>
    </row>
    <row r="16" spans="1:4">
      <c r="A16" s="150" t="s">
        <v>744</v>
      </c>
      <c r="B16" s="71"/>
      <c r="C16" s="71"/>
      <c r="D16" s="8"/>
    </row>
    <row r="17" spans="1:6" hidden="1">
      <c r="A17" s="151" t="s">
        <v>745</v>
      </c>
      <c r="B17" s="123">
        <v>0</v>
      </c>
      <c r="C17" s="123">
        <v>0</v>
      </c>
      <c r="D17" s="8"/>
    </row>
    <row r="18" spans="1:6">
      <c r="A18" s="151" t="s">
        <v>746</v>
      </c>
      <c r="B18" s="443">
        <v>85221800</v>
      </c>
      <c r="C18" s="443">
        <v>42312000</v>
      </c>
      <c r="D18" s="8"/>
    </row>
    <row r="19" spans="1:6">
      <c r="A19" s="150" t="s">
        <v>467</v>
      </c>
      <c r="B19" s="124">
        <f>SUM(B17:B18)</f>
        <v>85221800</v>
      </c>
      <c r="C19" s="124">
        <f>SUM(C17:C18)</f>
        <v>42312000</v>
      </c>
      <c r="D19" s="8"/>
    </row>
    <row r="20" spans="1:6">
      <c r="A20" s="150"/>
      <c r="B20" s="71"/>
      <c r="C20" s="71"/>
      <c r="D20" s="8"/>
    </row>
    <row r="21" spans="1:6" ht="2.25" customHeight="1">
      <c r="A21" s="150"/>
      <c r="B21" s="71"/>
      <c r="C21" s="71"/>
      <c r="D21" s="8"/>
    </row>
    <row r="22" spans="1:6">
      <c r="A22" s="150" t="s">
        <v>747</v>
      </c>
      <c r="B22" s="69"/>
      <c r="C22" s="69"/>
    </row>
    <row r="23" spans="1:6">
      <c r="A23" s="151" t="s">
        <v>748</v>
      </c>
      <c r="B23" s="443">
        <v>1345316694</v>
      </c>
      <c r="C23" s="443">
        <v>1248996265</v>
      </c>
    </row>
    <row r="24" spans="1:6">
      <c r="A24" s="150" t="s">
        <v>467</v>
      </c>
      <c r="B24" s="543">
        <f>SUM(B23)</f>
        <v>1345316694</v>
      </c>
      <c r="C24" s="543">
        <f>SUM(C23)</f>
        <v>1248996265</v>
      </c>
    </row>
    <row r="25" spans="1:6" ht="15.75" thickBot="1">
      <c r="A25" s="150" t="s">
        <v>749</v>
      </c>
      <c r="B25" s="471">
        <f>+B14+B19+B24</f>
        <v>1975207592</v>
      </c>
      <c r="C25" s="471">
        <f>+C14+C19+C24</f>
        <v>5617347647</v>
      </c>
      <c r="F25" s="472"/>
    </row>
    <row r="26" spans="1:6" ht="15.75" thickTop="1">
      <c r="A26" s="151"/>
      <c r="B26" s="69"/>
      <c r="C26" s="153"/>
    </row>
    <row r="27" spans="1:6">
      <c r="A27" s="221" t="s">
        <v>750</v>
      </c>
      <c r="B27" s="68"/>
      <c r="C27" s="152"/>
    </row>
    <row r="28" spans="1:6">
      <c r="A28" s="208"/>
      <c r="B28" s="630" t="s">
        <v>18</v>
      </c>
      <c r="C28" s="208"/>
    </row>
    <row r="29" spans="1:6">
      <c r="A29" s="618" t="s">
        <v>751</v>
      </c>
      <c r="B29" s="237"/>
      <c r="C29" s="238"/>
    </row>
    <row r="30" spans="1:6" ht="13.5" customHeight="1">
      <c r="A30" s="906" t="s">
        <v>695</v>
      </c>
      <c r="B30" s="585">
        <v>44834</v>
      </c>
      <c r="C30" s="585">
        <v>44561</v>
      </c>
    </row>
    <row r="31" spans="1:6" ht="14.25" customHeight="1">
      <c r="A31" s="236" t="s">
        <v>752</v>
      </c>
      <c r="B31" s="123">
        <v>2134931789</v>
      </c>
      <c r="C31" s="123">
        <v>1894758026</v>
      </c>
    </row>
    <row r="32" spans="1:6" ht="14.25" customHeight="1">
      <c r="A32" s="236" t="s">
        <v>1415</v>
      </c>
      <c r="B32" s="443">
        <v>2520075614</v>
      </c>
      <c r="C32" s="443">
        <v>0</v>
      </c>
    </row>
    <row r="33" spans="1:3" ht="15.75" thickBot="1">
      <c r="A33" s="150" t="s">
        <v>749</v>
      </c>
      <c r="B33" s="471">
        <f>SUM(B31:B32)</f>
        <v>4655007403</v>
      </c>
      <c r="C33" s="471">
        <f>+C21+C26+C31</f>
        <v>1894758026</v>
      </c>
    </row>
    <row r="34" spans="1:3" ht="15.75" thickTop="1">
      <c r="A34" s="208"/>
      <c r="B34" s="935"/>
      <c r="C34" s="238"/>
    </row>
    <row r="35" spans="1:3">
      <c r="A35" s="239"/>
      <c r="B35" s="212"/>
      <c r="C35" s="238"/>
    </row>
    <row r="36" spans="1:3" s="3" customFormat="1">
      <c r="A36" s="240"/>
      <c r="B36" s="210"/>
      <c r="C36" s="211"/>
    </row>
    <row r="37" spans="1:3" s="3" customFormat="1">
      <c r="A37" s="240"/>
      <c r="B37" s="210"/>
      <c r="C37" s="211"/>
    </row>
  </sheetData>
  <mergeCells count="1">
    <mergeCell ref="A4:B4"/>
  </mergeCells>
  <hyperlinks>
    <hyperlink ref="B1" location="BG!A1" display="BG" xr:uid="{0E4F561E-1855-4B51-847C-399E8E7FA1FA}"/>
    <hyperlink ref="B28" location="BG!A1" display="BG" xr:uid="{9AD055C2-B76D-4AA9-A4C7-FB4CBF8B1A86}"/>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B14:C14 B33"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L15"/>
  <sheetViews>
    <sheetView showGridLines="0" workbookViewId="0">
      <selection activeCell="F13" sqref="F13"/>
    </sheetView>
  </sheetViews>
  <sheetFormatPr baseColWidth="10" defaultColWidth="11.42578125" defaultRowHeight="15"/>
  <cols>
    <col min="1" max="1" width="32.5703125" customWidth="1"/>
    <col min="2" max="2" width="16.28515625" customWidth="1"/>
    <col min="3" max="3" width="15.7109375" customWidth="1"/>
    <col min="4" max="4" width="0.140625" hidden="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8" customHeight="1">
      <c r="A1" s="957" t="str">
        <f>Indice!C1</f>
        <v>NICOLAS GONZALEZ ODDONE S.A.E.C.A</v>
      </c>
      <c r="B1" s="957"/>
      <c r="C1" s="630" t="s">
        <v>18</v>
      </c>
      <c r="D1" s="15"/>
    </row>
    <row r="3" spans="1:12" ht="18" customHeight="1">
      <c r="A3" s="955" t="s">
        <v>753</v>
      </c>
      <c r="B3" s="955"/>
      <c r="C3" s="955"/>
      <c r="D3" s="955"/>
      <c r="E3" s="44"/>
      <c r="F3" s="44"/>
      <c r="G3" s="44"/>
      <c r="H3" s="44"/>
      <c r="I3" s="44"/>
      <c r="J3" s="44"/>
      <c r="K3" s="44"/>
      <c r="L3" s="44"/>
    </row>
    <row r="4" spans="1:12">
      <c r="A4" s="987" t="s">
        <v>344</v>
      </c>
      <c r="B4" s="987"/>
    </row>
    <row r="5" spans="1:12" ht="7.5" customHeight="1">
      <c r="A5" s="149"/>
      <c r="B5" s="149"/>
    </row>
    <row r="6" spans="1:12">
      <c r="A6" s="449" t="s">
        <v>345</v>
      </c>
      <c r="B6" s="585">
        <v>44834</v>
      </c>
      <c r="C6" s="585">
        <v>44561</v>
      </c>
    </row>
    <row r="7" spans="1:12">
      <c r="A7" s="6" t="s">
        <v>754</v>
      </c>
      <c r="B7" s="113">
        <f>+B8+B9+B10+B11</f>
        <v>785552102000</v>
      </c>
      <c r="C7" s="113">
        <v>785552102000</v>
      </c>
    </row>
    <row r="8" spans="1:12">
      <c r="A8" s="6" t="s">
        <v>755</v>
      </c>
      <c r="B8" s="113">
        <v>1000000000000</v>
      </c>
      <c r="C8" s="113">
        <v>800000000000</v>
      </c>
    </row>
    <row r="9" spans="1:12">
      <c r="A9" s="6" t="s">
        <v>756</v>
      </c>
      <c r="B9" s="113">
        <v>-222633000000</v>
      </c>
      <c r="C9" s="113">
        <v>-22633000000</v>
      </c>
    </row>
    <row r="10" spans="1:12">
      <c r="A10" s="6" t="s">
        <v>757</v>
      </c>
      <c r="B10" s="113">
        <v>-144200000</v>
      </c>
      <c r="C10" s="113">
        <v>-144200000</v>
      </c>
    </row>
    <row r="11" spans="1:12">
      <c r="A11" s="6" t="s">
        <v>758</v>
      </c>
      <c r="B11" s="113">
        <v>8329302000</v>
      </c>
      <c r="C11" s="113">
        <v>8329302000</v>
      </c>
    </row>
    <row r="12" spans="1:12">
      <c r="A12" s="6" t="s">
        <v>759</v>
      </c>
      <c r="B12" s="113">
        <v>6348977</v>
      </c>
      <c r="C12" s="113">
        <v>6348977</v>
      </c>
    </row>
    <row r="13" spans="1:12">
      <c r="A13" s="6" t="s">
        <v>760</v>
      </c>
      <c r="B13" s="419">
        <v>100000</v>
      </c>
      <c r="C13" s="419">
        <v>100000</v>
      </c>
    </row>
    <row r="14" spans="1:12" ht="15.75" thickBot="1">
      <c r="A14" s="111" t="s">
        <v>166</v>
      </c>
      <c r="B14" s="907">
        <f>SUM(B8:B11)</f>
        <v>785552102000</v>
      </c>
      <c r="C14" s="907">
        <f>SUM(C8:C11)</f>
        <v>785552102000</v>
      </c>
    </row>
    <row r="15" spans="1:12" ht="15.75" thickTop="1">
      <c r="A15" s="6"/>
      <c r="B15" s="6"/>
      <c r="C15" s="6"/>
    </row>
  </sheetData>
  <mergeCells count="3">
    <mergeCell ref="A3:D3"/>
    <mergeCell ref="A1:B1"/>
    <mergeCell ref="A4:B4"/>
  </mergeCells>
  <hyperlinks>
    <hyperlink ref="C1" location="BG!A1" display="BG" xr:uid="{00000000-0004-0000-1A00-000000000000}"/>
  </hyperlinks>
  <pageMargins left="0.70866141732283472" right="0.70866141732283472" top="0.74803149606299213" bottom="0.74803149606299213" header="0.31496062992125984" footer="0.31496062992125984"/>
  <pageSetup paperSize="9" scale="80" orientation="portrait" horizontalDpi="0" verticalDpi="0" r:id="rId1"/>
  <ignoredErrors>
    <ignoredError sqref="B14:C14"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O43"/>
  <sheetViews>
    <sheetView showGridLines="0" workbookViewId="0">
      <selection activeCell="J49" sqref="J49"/>
    </sheetView>
  </sheetViews>
  <sheetFormatPr baseColWidth="10" defaultColWidth="11.42578125" defaultRowHeight="15"/>
  <cols>
    <col min="1" max="1" width="50.7109375" style="9" customWidth="1"/>
    <col min="2" max="2" width="16.28515625" style="9" customWidth="1"/>
    <col min="3" max="3" width="14.7109375" style="9" customWidth="1"/>
    <col min="4" max="4" width="11.42578125" style="9"/>
    <col min="5" max="5" width="12.5703125" style="9" customWidth="1"/>
    <col min="6" max="6" width="0.42578125" style="9" hidden="1" customWidth="1"/>
    <col min="7" max="7" width="1.85546875" style="9" hidden="1" customWidth="1"/>
    <col min="8" max="9" width="11.42578125" style="9" hidden="1" customWidth="1"/>
    <col min="10" max="10" width="13.7109375" style="9" bestFit="1" customWidth="1"/>
    <col min="11" max="15" width="11.42578125" style="9"/>
  </cols>
  <sheetData>
    <row r="1" spans="1:13" ht="18.75" customHeight="1">
      <c r="A1" s="217" t="str">
        <f>Indice!C1</f>
        <v>NICOLAS GONZALEZ ODDONE S.A.E.C.A</v>
      </c>
      <c r="B1" s="632" t="s">
        <v>18</v>
      </c>
      <c r="C1" s="632"/>
      <c r="D1" s="227"/>
      <c r="E1" s="94"/>
      <c r="F1" s="227"/>
    </row>
    <row r="2" spans="1:13">
      <c r="A2" s="94"/>
      <c r="B2" s="94"/>
      <c r="C2" s="94"/>
      <c r="D2" s="94"/>
      <c r="E2" s="94"/>
      <c r="F2" s="94"/>
    </row>
    <row r="3" spans="1:13" ht="17.25" customHeight="1">
      <c r="A3" s="955" t="s">
        <v>761</v>
      </c>
      <c r="B3" s="955"/>
      <c r="C3" s="955"/>
      <c r="D3" s="955"/>
      <c r="E3" s="955"/>
      <c r="F3" s="955"/>
      <c r="G3" s="19"/>
      <c r="H3" s="19"/>
      <c r="I3" s="19"/>
      <c r="J3" s="3"/>
      <c r="K3" s="3"/>
      <c r="L3" s="19"/>
      <c r="M3" s="19"/>
    </row>
    <row r="4" spans="1:13">
      <c r="A4" s="987" t="s">
        <v>344</v>
      </c>
      <c r="B4" s="987"/>
      <c r="C4" s="94"/>
      <c r="D4" s="94"/>
      <c r="E4" s="94"/>
      <c r="F4" s="94"/>
      <c r="J4" s="3"/>
      <c r="K4" s="3"/>
    </row>
    <row r="5" spans="1:13">
      <c r="A5" s="94"/>
      <c r="B5" s="586">
        <v>44834</v>
      </c>
      <c r="C5" s="586">
        <v>44561</v>
      </c>
      <c r="D5" s="94"/>
      <c r="E5" s="94"/>
      <c r="F5" s="94"/>
    </row>
    <row r="6" spans="1:13">
      <c r="A6" s="94"/>
      <c r="B6" s="271"/>
      <c r="C6" s="273"/>
      <c r="D6" s="94"/>
      <c r="E6" s="94"/>
      <c r="F6" s="94"/>
    </row>
    <row r="7" spans="1:13">
      <c r="A7" s="126" t="s">
        <v>762</v>
      </c>
      <c r="B7" s="274">
        <f>57008661721+472930672+107394557+33978554091</f>
        <v>91567541041</v>
      </c>
      <c r="C7" s="274">
        <v>91567541041</v>
      </c>
      <c r="D7" s="94"/>
      <c r="E7" s="94"/>
      <c r="F7" s="94"/>
    </row>
    <row r="8" spans="1:13">
      <c r="A8" s="126" t="s">
        <v>763</v>
      </c>
      <c r="B8" s="399">
        <v>87405000939</v>
      </c>
      <c r="C8" s="399">
        <v>87405000939</v>
      </c>
      <c r="D8" s="94"/>
      <c r="E8" s="94"/>
      <c r="F8" s="94"/>
      <c r="J8" s="62"/>
    </row>
    <row r="9" spans="1:13">
      <c r="A9" s="126" t="s">
        <v>166</v>
      </c>
      <c r="B9" s="157">
        <f>SUM(B7:B8)</f>
        <v>178972541980</v>
      </c>
      <c r="C9" s="157">
        <f>SUM(C7:C8)</f>
        <v>178972541980</v>
      </c>
      <c r="D9" s="94"/>
      <c r="E9" s="94"/>
      <c r="F9" s="94"/>
    </row>
    <row r="10" spans="1:13">
      <c r="A10" s="126"/>
      <c r="B10" s="269"/>
      <c r="C10" s="269"/>
      <c r="D10" s="94"/>
      <c r="E10" s="94"/>
      <c r="F10" s="94"/>
    </row>
    <row r="11" spans="1:13" ht="21" customHeight="1">
      <c r="A11" s="126"/>
      <c r="B11" s="269"/>
      <c r="C11" s="269"/>
      <c r="D11" s="94"/>
      <c r="E11" s="94"/>
      <c r="F11" s="94"/>
    </row>
    <row r="12" spans="1:13" ht="48.75" customHeight="1">
      <c r="A12" s="126"/>
      <c r="B12" s="269"/>
      <c r="C12" s="269"/>
      <c r="D12" s="94"/>
      <c r="E12" s="94"/>
      <c r="F12" s="94"/>
    </row>
    <row r="13" spans="1:13" ht="20.25" customHeight="1">
      <c r="A13" s="126" t="s">
        <v>764</v>
      </c>
      <c r="B13" s="157">
        <v>60419798604</v>
      </c>
      <c r="C13" s="157">
        <v>54822159515</v>
      </c>
      <c r="D13" s="94"/>
      <c r="E13" s="94"/>
      <c r="F13" s="94"/>
    </row>
    <row r="14" spans="1:13" ht="12.75" customHeight="1">
      <c r="A14" s="126" t="s">
        <v>765</v>
      </c>
      <c r="B14" s="419">
        <v>506745717</v>
      </c>
      <c r="C14" s="747">
        <v>506745718</v>
      </c>
      <c r="D14" s="94"/>
      <c r="E14" s="94"/>
      <c r="F14" s="94"/>
    </row>
    <row r="15" spans="1:13">
      <c r="A15" s="126" t="s">
        <v>166</v>
      </c>
      <c r="B15" s="95">
        <f>SUM(B13:B14)</f>
        <v>60926544321</v>
      </c>
      <c r="C15" s="95">
        <f>SUM(C13:C14)</f>
        <v>55328905233</v>
      </c>
      <c r="D15" s="94"/>
      <c r="E15" s="94"/>
      <c r="F15" s="94"/>
    </row>
    <row r="16" spans="1:13" ht="9" customHeight="1">
      <c r="A16" s="126"/>
      <c r="B16" s="94"/>
      <c r="C16" s="94"/>
      <c r="D16" s="94"/>
      <c r="E16" s="94"/>
      <c r="F16" s="94"/>
    </row>
    <row r="17" spans="1:6" ht="30.75" hidden="1" customHeight="1">
      <c r="A17" s="126"/>
      <c r="B17" s="94"/>
      <c r="C17" s="94"/>
      <c r="D17" s="94"/>
      <c r="E17" s="94"/>
      <c r="F17" s="94"/>
    </row>
    <row r="18" spans="1:6" hidden="1">
      <c r="A18" s="126" t="s">
        <v>766</v>
      </c>
      <c r="B18" s="94"/>
      <c r="C18" s="94"/>
      <c r="D18" s="94"/>
      <c r="E18" s="94"/>
      <c r="F18" s="94"/>
    </row>
    <row r="19" spans="1:6" hidden="1">
      <c r="A19" s="126"/>
      <c r="B19" s="94"/>
      <c r="C19" s="94"/>
      <c r="D19" s="94"/>
      <c r="E19" s="94"/>
      <c r="F19" s="94"/>
    </row>
    <row r="20" spans="1:6" hidden="1">
      <c r="A20" s="126"/>
      <c r="B20" s="94"/>
      <c r="C20" s="94"/>
      <c r="D20" s="94"/>
      <c r="E20" s="94"/>
      <c r="F20" s="94"/>
    </row>
    <row r="21" spans="1:6" hidden="1">
      <c r="A21" s="126"/>
      <c r="B21" s="94"/>
      <c r="C21" s="94"/>
      <c r="D21" s="94"/>
      <c r="E21" s="94"/>
      <c r="F21" s="94"/>
    </row>
    <row r="22" spans="1:6" hidden="1">
      <c r="A22" s="126" t="s">
        <v>767</v>
      </c>
      <c r="B22" s="94">
        <f>+SUM($B$23:B28)</f>
        <v>0</v>
      </c>
      <c r="C22" s="94">
        <f>+SUM($C$23:C28)</f>
        <v>0</v>
      </c>
      <c r="D22" s="94"/>
      <c r="E22" s="94"/>
      <c r="F22" s="94"/>
    </row>
    <row r="23" spans="1:6" hidden="1">
      <c r="A23" s="94" t="s">
        <v>768</v>
      </c>
      <c r="B23" s="94"/>
      <c r="C23" s="94"/>
      <c r="D23" s="94"/>
      <c r="E23" s="94"/>
      <c r="F23" s="94"/>
    </row>
    <row r="24" spans="1:6" hidden="1">
      <c r="A24" s="94" t="s">
        <v>769</v>
      </c>
      <c r="B24" s="94"/>
      <c r="C24" s="94"/>
      <c r="D24" s="94"/>
      <c r="E24" s="94"/>
      <c r="F24" s="94"/>
    </row>
    <row r="25" spans="1:6" hidden="1">
      <c r="A25" s="94"/>
      <c r="B25" s="94"/>
      <c r="C25" s="94"/>
      <c r="D25" s="94"/>
      <c r="E25" s="94"/>
      <c r="F25" s="94"/>
    </row>
    <row r="30" spans="1:6">
      <c r="A30" s="908" t="s">
        <v>770</v>
      </c>
      <c r="B30" s="569">
        <v>75158216505</v>
      </c>
      <c r="C30" s="909">
        <v>6027373750</v>
      </c>
    </row>
    <row r="31" spans="1:6" ht="17.25" customHeight="1">
      <c r="A31" s="126" t="s">
        <v>166</v>
      </c>
      <c r="B31" s="95">
        <f>SUM(B30)</f>
        <v>75158216505</v>
      </c>
      <c r="C31" s="62">
        <f>SUM(C30)</f>
        <v>6027373750</v>
      </c>
    </row>
    <row r="32" spans="1:6">
      <c r="A32" s="94"/>
      <c r="B32" s="94"/>
    </row>
    <row r="36" spans="1:3">
      <c r="A36" s="9" t="s">
        <v>771</v>
      </c>
    </row>
    <row r="37" spans="1:3">
      <c r="A37" s="94" t="s">
        <v>772</v>
      </c>
      <c r="B37" s="569">
        <v>-47385000</v>
      </c>
      <c r="C37" s="909">
        <v>-47385000</v>
      </c>
    </row>
    <row r="38" spans="1:3" ht="15.75" thickBot="1">
      <c r="A38" s="126" t="s">
        <v>773</v>
      </c>
      <c r="B38" s="808">
        <f>B9+B15+B31+B37</f>
        <v>315009917806</v>
      </c>
      <c r="C38" s="910">
        <f>+C9+C15+C31+C37</f>
        <v>240281435963</v>
      </c>
    </row>
    <row r="39" spans="1:3" ht="15.75" thickTop="1">
      <c r="B39" s="62"/>
      <c r="C39" s="62"/>
    </row>
    <row r="40" spans="1:3">
      <c r="B40" s="62"/>
    </row>
    <row r="41" spans="1:3">
      <c r="B41" s="62"/>
    </row>
    <row r="43" spans="1:3">
      <c r="B43" s="62"/>
    </row>
  </sheetData>
  <mergeCells count="2">
    <mergeCell ref="A3:F3"/>
    <mergeCell ref="A4:B4"/>
  </mergeCells>
  <hyperlinks>
    <hyperlink ref="B1" location="BG!A1" display="BG" xr:uid="{AF58B519-2E09-49A9-A13D-2009AAAA7DE6}"/>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Y10"/>
  <sheetViews>
    <sheetView showGridLines="0" workbookViewId="0">
      <selection activeCell="K11" sqref="K11"/>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15" customFormat="1" ht="18.75" customHeight="1">
      <c r="A1" s="217" t="str">
        <f>Indice!C1</f>
        <v>NICOLAS GONZALEZ ODDONE S.A.E.C.A</v>
      </c>
      <c r="B1" s="217"/>
      <c r="C1" s="632" t="s">
        <v>18</v>
      </c>
      <c r="D1" s="227"/>
      <c r="E1" s="94"/>
      <c r="F1" s="227"/>
      <c r="G1" s="9"/>
      <c r="H1" s="9"/>
      <c r="I1" s="9"/>
      <c r="J1" s="9"/>
      <c r="K1" s="9"/>
      <c r="L1" s="9"/>
      <c r="M1" s="9"/>
      <c r="N1" s="9"/>
      <c r="O1" s="9"/>
    </row>
    <row r="2" spans="1:15" customFormat="1" ht="18.75" customHeight="1">
      <c r="A2" s="145"/>
      <c r="B2" s="145"/>
      <c r="C2" s="633"/>
      <c r="D2" s="227"/>
      <c r="E2" s="94"/>
      <c r="F2" s="227"/>
      <c r="G2" s="9"/>
      <c r="H2" s="9"/>
      <c r="I2" s="9"/>
      <c r="J2" s="9"/>
      <c r="K2" s="9"/>
      <c r="L2" s="9"/>
      <c r="M2" s="9"/>
      <c r="N2" s="9"/>
      <c r="O2" s="9"/>
    </row>
    <row r="3" spans="1:15" ht="20.25" customHeight="1">
      <c r="A3" s="221" t="s">
        <v>774</v>
      </c>
      <c r="B3" s="221"/>
      <c r="C3" s="221"/>
      <c r="D3" s="53"/>
      <c r="E3" s="44"/>
      <c r="F3" s="45"/>
    </row>
    <row r="4" spans="1:15">
      <c r="A4" s="997" t="s">
        <v>344</v>
      </c>
      <c r="B4" s="997"/>
    </row>
    <row r="5" spans="1:15" ht="23.25">
      <c r="A5" s="268" t="s">
        <v>620</v>
      </c>
      <c r="B5" s="996"/>
      <c r="C5" s="996"/>
    </row>
    <row r="6" spans="1:15" ht="13.5" customHeight="1">
      <c r="B6" s="576">
        <v>44834</v>
      </c>
      <c r="C6" s="576">
        <v>44561</v>
      </c>
    </row>
    <row r="7" spans="1:15">
      <c r="A7" s="99" t="s">
        <v>62</v>
      </c>
    </row>
    <row r="9" spans="1:15">
      <c r="B9" s="561"/>
      <c r="C9" s="561"/>
    </row>
    <row r="10" spans="1:15">
      <c r="B10" s="562" t="s">
        <v>676</v>
      </c>
      <c r="C10" s="562" t="s">
        <v>676</v>
      </c>
    </row>
  </sheetData>
  <mergeCells count="2">
    <mergeCell ref="B5:C5"/>
    <mergeCell ref="A4:B4"/>
  </mergeCells>
  <hyperlinks>
    <hyperlink ref="C1" location="BG!A1" display="BG" xr:uid="{2A64B0B4-0744-4C24-BDC4-6EF4B0379CE0}"/>
  </hyperlinks>
  <pageMargins left="1.9685039370078741" right="1.7716535433070868" top="1.9685039370078741"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K85"/>
  <sheetViews>
    <sheetView showGridLines="0" topLeftCell="A3" zoomScaleNormal="100" workbookViewId="0">
      <selection activeCell="D14" sqref="D14"/>
    </sheetView>
  </sheetViews>
  <sheetFormatPr baseColWidth="10" defaultColWidth="11.42578125" defaultRowHeight="12"/>
  <cols>
    <col min="1" max="1" width="2" style="6" customWidth="1"/>
    <col min="2" max="2" width="1.140625" style="6" hidden="1" customWidth="1"/>
    <col min="3" max="3" width="51.85546875" style="6" customWidth="1"/>
    <col min="4" max="4" width="8" style="2" customWidth="1"/>
    <col min="5" max="5" width="17" style="112" customWidth="1"/>
    <col min="6" max="6" width="17.42578125" style="112" customWidth="1"/>
    <col min="7" max="7" width="17.42578125" style="6" customWidth="1"/>
    <col min="8" max="8" width="16.7109375" style="6" hidden="1" customWidth="1"/>
    <col min="9" max="9" width="14.28515625" style="6" hidden="1" customWidth="1"/>
    <col min="10" max="10" width="16.7109375" style="6" bestFit="1" customWidth="1"/>
    <col min="11" max="11" width="14.28515625" style="6" bestFit="1" customWidth="1"/>
    <col min="12" max="16384" width="11.42578125" style="6"/>
  </cols>
  <sheetData>
    <row r="1" spans="1:11" ht="21" customHeight="1">
      <c r="C1" s="629" t="str">
        <f>Indice!C1</f>
        <v>NICOLAS GONZALEZ ODDONE S.A.E.C.A</v>
      </c>
      <c r="D1" s="251" t="s">
        <v>110</v>
      </c>
    </row>
    <row r="2" spans="1:11">
      <c r="F2" s="537"/>
    </row>
    <row r="3" spans="1:11" ht="12.75">
      <c r="C3" s="259" t="s">
        <v>111</v>
      </c>
      <c r="D3" s="208"/>
      <c r="E3" s="532"/>
      <c r="F3" s="532"/>
      <c r="G3" s="1"/>
    </row>
    <row r="4" spans="1:11" ht="9.75" customHeight="1"/>
    <row r="5" spans="1:11" ht="14.25" customHeight="1">
      <c r="A5" s="255"/>
      <c r="B5" s="255"/>
      <c r="C5" s="255"/>
      <c r="D5" s="256" t="s">
        <v>112</v>
      </c>
      <c r="E5" s="390">
        <v>44834</v>
      </c>
      <c r="F5" s="390">
        <v>44561</v>
      </c>
    </row>
    <row r="6" spans="1:11">
      <c r="C6" s="952" t="s">
        <v>113</v>
      </c>
      <c r="D6" s="952"/>
      <c r="E6" s="952"/>
      <c r="F6" s="952"/>
      <c r="G6" s="952"/>
      <c r="H6" s="952"/>
      <c r="I6" s="952"/>
    </row>
    <row r="7" spans="1:11">
      <c r="C7" s="64"/>
      <c r="D7" s="64"/>
      <c r="E7" s="522"/>
      <c r="F7" s="522"/>
      <c r="G7" s="64"/>
      <c r="H7" s="64"/>
      <c r="I7" s="64"/>
    </row>
    <row r="8" spans="1:11" ht="11.25" customHeight="1">
      <c r="A8" s="954" t="s">
        <v>114</v>
      </c>
      <c r="B8" s="954"/>
      <c r="C8" s="954"/>
      <c r="D8" s="400"/>
    </row>
    <row r="9" spans="1:11">
      <c r="A9" s="401" t="s">
        <v>115</v>
      </c>
      <c r="B9" s="402"/>
      <c r="C9" s="402"/>
      <c r="D9" s="249"/>
      <c r="F9" s="499"/>
    </row>
    <row r="10" spans="1:11">
      <c r="B10" s="948" t="s">
        <v>19</v>
      </c>
      <c r="C10" s="948"/>
      <c r="D10" s="252">
        <v>3</v>
      </c>
      <c r="E10" s="393">
        <f>'Nota 3'!C17</f>
        <v>23253279881</v>
      </c>
      <c r="F10" s="516">
        <f>'Nota 3'!D17</f>
        <v>64126541536</v>
      </c>
    </row>
    <row r="11" spans="1:11">
      <c r="B11" s="948" t="s">
        <v>116</v>
      </c>
      <c r="C11" s="948"/>
      <c r="D11" s="252">
        <v>4</v>
      </c>
      <c r="E11" s="393">
        <f>'Nota 4'!B23</f>
        <v>26425055150</v>
      </c>
      <c r="F11" s="516">
        <f>'Nota 4'!C23</f>
        <v>44865166465</v>
      </c>
    </row>
    <row r="12" spans="1:11">
      <c r="B12" s="948" t="s">
        <v>117</v>
      </c>
      <c r="C12" s="948"/>
      <c r="D12" s="253">
        <v>5</v>
      </c>
      <c r="E12" s="500">
        <f>'Nota 5'!C17</f>
        <v>289210457712</v>
      </c>
      <c r="F12" s="500">
        <f>'Nota 5'!D17</f>
        <v>284952441791</v>
      </c>
      <c r="G12" s="98"/>
      <c r="K12" s="214"/>
    </row>
    <row r="13" spans="1:11">
      <c r="B13" s="948" t="s">
        <v>118</v>
      </c>
      <c r="C13" s="948"/>
      <c r="D13" s="253">
        <v>6</v>
      </c>
      <c r="E13" s="716">
        <f>'Nota 6'!B55</f>
        <v>25812833601</v>
      </c>
      <c r="F13" s="516">
        <f>'Nota 6'!C55</f>
        <v>20034713835</v>
      </c>
      <c r="G13" s="98"/>
    </row>
    <row r="14" spans="1:11">
      <c r="B14" s="6" t="s">
        <v>119</v>
      </c>
      <c r="C14" s="6" t="s">
        <v>119</v>
      </c>
      <c r="D14" s="253">
        <v>7</v>
      </c>
      <c r="E14" s="393">
        <f>'Nota 7'!B25</f>
        <v>517259288891</v>
      </c>
      <c r="F14" s="516">
        <f>+'Nota 7'!C25</f>
        <v>574994315757</v>
      </c>
      <c r="G14" s="214"/>
      <c r="J14" s="214"/>
    </row>
    <row r="15" spans="1:11">
      <c r="B15" s="948" t="s">
        <v>120</v>
      </c>
      <c r="C15" s="948"/>
      <c r="D15" s="253">
        <v>6</v>
      </c>
      <c r="E15" s="512">
        <f>'Nota 6'!B68</f>
        <v>392185578</v>
      </c>
      <c r="F15" s="512">
        <f>'Nota 6'!C88</f>
        <v>0</v>
      </c>
      <c r="H15" s="98"/>
    </row>
    <row r="16" spans="1:11">
      <c r="B16" s="82" t="s">
        <v>121</v>
      </c>
      <c r="D16" s="730"/>
      <c r="E16" s="528">
        <f>SUM(E10:E15)</f>
        <v>882353100813</v>
      </c>
      <c r="F16" s="528">
        <f>SUM(F10:F15)</f>
        <v>988973179384</v>
      </c>
      <c r="G16" s="214"/>
      <c r="H16" s="214"/>
      <c r="J16" s="759"/>
    </row>
    <row r="17" spans="1:11">
      <c r="B17" s="82"/>
      <c r="D17" s="730"/>
      <c r="E17" s="528"/>
      <c r="F17" s="528"/>
    </row>
    <row r="18" spans="1:11">
      <c r="A18" s="401" t="s">
        <v>122</v>
      </c>
      <c r="B18" s="402"/>
      <c r="C18" s="402"/>
      <c r="D18" s="730"/>
      <c r="E18" s="506"/>
      <c r="F18" s="499"/>
    </row>
    <row r="19" spans="1:11" hidden="1">
      <c r="B19" s="948" t="s">
        <v>123</v>
      </c>
      <c r="C19" s="948"/>
      <c r="D19" s="253">
        <v>6</v>
      </c>
      <c r="E19" s="500">
        <v>0</v>
      </c>
      <c r="F19" s="628">
        <v>0</v>
      </c>
    </row>
    <row r="20" spans="1:11">
      <c r="C20" s="6" t="s">
        <v>117</v>
      </c>
      <c r="D20" s="253">
        <v>5</v>
      </c>
      <c r="E20" s="393">
        <f>'Nota 5'!C46</f>
        <v>16267676570</v>
      </c>
      <c r="F20" s="393">
        <f>'Nota 5'!D46</f>
        <v>21668303511</v>
      </c>
    </row>
    <row r="21" spans="1:11">
      <c r="B21" s="948" t="s">
        <v>124</v>
      </c>
      <c r="C21" s="948"/>
      <c r="D21" s="253">
        <v>8</v>
      </c>
      <c r="E21" s="393">
        <f>'Nota 8'!B10</f>
        <v>64680028660</v>
      </c>
      <c r="F21" s="499">
        <f>'Nota 8'!C10</f>
        <v>64680028660</v>
      </c>
    </row>
    <row r="22" spans="1:11">
      <c r="B22" s="948" t="s">
        <v>125</v>
      </c>
      <c r="C22" s="948"/>
      <c r="D22" s="253">
        <v>9</v>
      </c>
      <c r="E22" s="393">
        <f>'Nota 9'!L53</f>
        <v>355142224543</v>
      </c>
      <c r="F22" s="499">
        <f>'Nota 9'!M53</f>
        <v>342143561708</v>
      </c>
      <c r="G22" s="98"/>
      <c r="H22" s="214"/>
      <c r="I22" s="98"/>
    </row>
    <row r="23" spans="1:11">
      <c r="B23" s="948" t="s">
        <v>119</v>
      </c>
      <c r="C23" s="948"/>
      <c r="D23" s="252">
        <v>7</v>
      </c>
      <c r="E23" s="716">
        <f>'Nota 7'!B34</f>
        <v>2879290625</v>
      </c>
      <c r="F23" s="499">
        <f>'Nota 7'!C33</f>
        <v>2879290625</v>
      </c>
      <c r="I23" s="98"/>
    </row>
    <row r="24" spans="1:11">
      <c r="B24" s="948" t="s">
        <v>126</v>
      </c>
      <c r="C24" s="948"/>
      <c r="D24" s="252">
        <v>6</v>
      </c>
      <c r="E24" s="716">
        <f>'Nota 6'!F11</f>
        <v>4651695097</v>
      </c>
      <c r="F24" s="713">
        <f>'Nota 6'!G11</f>
        <v>1890351611</v>
      </c>
    </row>
    <row r="25" spans="1:11">
      <c r="B25" s="948" t="s">
        <v>127</v>
      </c>
      <c r="C25" s="948"/>
      <c r="D25" s="252">
        <v>11</v>
      </c>
      <c r="E25" s="393">
        <f>'Nota 11'!B29</f>
        <v>5433244424</v>
      </c>
      <c r="F25" s="499">
        <f>'Nota 11'!C29</f>
        <v>5597767493</v>
      </c>
      <c r="J25" s="98"/>
    </row>
    <row r="26" spans="1:11" ht="10.5" hidden="1" customHeight="1">
      <c r="B26" s="948" t="s">
        <v>128</v>
      </c>
      <c r="C26" s="948"/>
      <c r="D26" s="252">
        <v>12</v>
      </c>
      <c r="E26" s="524">
        <f>'[1]Nota 12'!B11</f>
        <v>0</v>
      </c>
      <c r="F26" s="499">
        <f>'[1]Nota 12'!C11</f>
        <v>0</v>
      </c>
      <c r="J26" s="98"/>
    </row>
    <row r="27" spans="1:11">
      <c r="B27" s="6" t="s">
        <v>129</v>
      </c>
      <c r="C27" s="6" t="s">
        <v>1433</v>
      </c>
      <c r="D27" s="252">
        <v>10</v>
      </c>
      <c r="E27" s="512">
        <f>'Nota 10'!B68</f>
        <v>50176342600.884674</v>
      </c>
      <c r="F27" s="512">
        <f>'Nota 10'!C68</f>
        <v>50617776419.677696</v>
      </c>
    </row>
    <row r="28" spans="1:11">
      <c r="B28" s="950" t="s">
        <v>130</v>
      </c>
      <c r="C28" s="950"/>
      <c r="D28" s="249"/>
      <c r="E28" s="528">
        <f>SUM(E19:E27)</f>
        <v>499230502519.88464</v>
      </c>
      <c r="F28" s="528">
        <f>SUM(F19:F27)</f>
        <v>489477080027.67767</v>
      </c>
      <c r="G28" s="98"/>
      <c r="J28" s="214"/>
    </row>
    <row r="29" spans="1:11">
      <c r="B29" s="396"/>
      <c r="C29" s="396"/>
      <c r="D29" s="249"/>
      <c r="E29" s="528"/>
      <c r="F29" s="528"/>
      <c r="G29" s="214"/>
      <c r="H29" s="98"/>
      <c r="I29" s="98"/>
      <c r="J29" s="214"/>
    </row>
    <row r="30" spans="1:11">
      <c r="A30" s="957" t="s">
        <v>131</v>
      </c>
      <c r="B30" s="957"/>
      <c r="C30" s="957"/>
      <c r="D30" s="249"/>
      <c r="E30" s="533">
        <f>+E16+E28</f>
        <v>1381583603332.8848</v>
      </c>
      <c r="F30" s="824">
        <f>+F16+F28</f>
        <v>1478450259411.6777</v>
      </c>
    </row>
    <row r="31" spans="1:11" ht="14.25">
      <c r="A31" s="955" t="s">
        <v>132</v>
      </c>
      <c r="B31" s="955"/>
      <c r="C31" s="955"/>
      <c r="D31" s="248"/>
      <c r="E31" s="513"/>
      <c r="F31" s="531"/>
    </row>
    <row r="32" spans="1:11" ht="14.25">
      <c r="A32" s="87"/>
      <c r="B32" s="87"/>
      <c r="C32" s="87"/>
      <c r="D32" s="248"/>
      <c r="E32" s="513"/>
      <c r="F32" s="531"/>
      <c r="K32" s="98"/>
    </row>
    <row r="33" spans="1:11">
      <c r="A33" s="401" t="s">
        <v>133</v>
      </c>
      <c r="B33" s="402"/>
      <c r="C33" s="402"/>
      <c r="D33" s="249"/>
      <c r="E33" s="523">
        <v>-1</v>
      </c>
      <c r="F33" s="499"/>
      <c r="K33" s="98"/>
    </row>
    <row r="34" spans="1:11">
      <c r="B34" s="948" t="s">
        <v>134</v>
      </c>
      <c r="C34" s="948"/>
      <c r="D34" s="252">
        <v>13</v>
      </c>
      <c r="E34" s="502">
        <f>'Nota 13'!B38</f>
        <v>22932482593</v>
      </c>
      <c r="F34" s="499">
        <f>+'Nota 13'!C38</f>
        <v>56848948995</v>
      </c>
      <c r="K34" s="98"/>
    </row>
    <row r="35" spans="1:11">
      <c r="B35" s="951" t="s">
        <v>135</v>
      </c>
      <c r="C35" s="951"/>
      <c r="D35" s="252">
        <v>14</v>
      </c>
      <c r="E35" s="500">
        <f>'Nota 14'!E30</f>
        <v>184986935910</v>
      </c>
      <c r="F35" s="499">
        <f>'Nota 14'!K30</f>
        <v>225531522939</v>
      </c>
    </row>
    <row r="36" spans="1:11">
      <c r="B36" s="948" t="s">
        <v>47</v>
      </c>
      <c r="C36" s="948"/>
      <c r="D36" s="252">
        <v>16</v>
      </c>
      <c r="E36" s="393">
        <f>'Nota 16'!B21</f>
        <v>4297378661</v>
      </c>
      <c r="F36" s="499">
        <f>'Nota 16'!C21</f>
        <v>3211281044</v>
      </c>
    </row>
    <row r="37" spans="1:11">
      <c r="B37" s="948" t="s">
        <v>136</v>
      </c>
      <c r="C37" s="948"/>
      <c r="D37" s="252">
        <v>17</v>
      </c>
      <c r="E37" s="516">
        <f>'Nota 17'!B13</f>
        <v>2870760873</v>
      </c>
      <c r="F37" s="499">
        <f>'Nota 17'!C13</f>
        <v>341912019</v>
      </c>
    </row>
    <row r="38" spans="1:11">
      <c r="B38" s="948" t="s">
        <v>137</v>
      </c>
      <c r="C38" s="948"/>
      <c r="D38" s="252">
        <v>18</v>
      </c>
      <c r="E38" s="516">
        <f>'Nota 18'!B37+'Nota 18'!B51</f>
        <v>13786777094</v>
      </c>
      <c r="F38" s="499">
        <f>'Nota 18'!C52</f>
        <v>47218168990</v>
      </c>
      <c r="I38" s="98"/>
    </row>
    <row r="39" spans="1:11">
      <c r="B39" s="948" t="s">
        <v>53</v>
      </c>
      <c r="C39" s="948"/>
      <c r="D39" s="252">
        <v>19</v>
      </c>
      <c r="E39" s="517">
        <f>'Nota 19'!B25</f>
        <v>1975207592</v>
      </c>
      <c r="F39" s="498">
        <f>+'Nota 19'!C25</f>
        <v>5617347647</v>
      </c>
    </row>
    <row r="40" spans="1:11" ht="13.7" customHeight="1">
      <c r="B40" s="82" t="s">
        <v>138</v>
      </c>
      <c r="D40" s="249"/>
      <c r="E40" s="528">
        <f>SUM(E34:E39)</f>
        <v>230849542723</v>
      </c>
      <c r="F40" s="528">
        <f>SUM(F34:F39)-1</f>
        <v>338769181633</v>
      </c>
      <c r="G40" s="214"/>
      <c r="J40" s="759"/>
    </row>
    <row r="41" spans="1:11" ht="13.7" customHeight="1">
      <c r="B41" s="82"/>
      <c r="D41" s="249"/>
      <c r="E41" s="528"/>
      <c r="F41" s="528"/>
      <c r="J41" s="759"/>
    </row>
    <row r="42" spans="1:11">
      <c r="A42" s="401" t="s">
        <v>139</v>
      </c>
      <c r="B42" s="402"/>
      <c r="C42" s="402"/>
      <c r="D42" s="249"/>
      <c r="E42" s="614"/>
      <c r="F42" s="614"/>
    </row>
    <row r="43" spans="1:11" hidden="1">
      <c r="B43" s="948" t="s">
        <v>140</v>
      </c>
      <c r="C43" s="948"/>
      <c r="D43" s="252"/>
      <c r="E43" s="198">
        <v>0</v>
      </c>
      <c r="F43" s="200">
        <v>0</v>
      </c>
    </row>
    <row r="44" spans="1:11">
      <c r="B44" s="948" t="s">
        <v>141</v>
      </c>
      <c r="C44" s="948"/>
      <c r="D44" s="252">
        <v>19</v>
      </c>
      <c r="E44" s="525">
        <f>'Nota 19'!B33</f>
        <v>4655007403</v>
      </c>
      <c r="F44" s="534">
        <f>'Nota 19'!C33</f>
        <v>1894758026</v>
      </c>
    </row>
    <row r="45" spans="1:11">
      <c r="B45" s="82" t="s">
        <v>142</v>
      </c>
      <c r="D45" s="249"/>
      <c r="E45" s="201">
        <f>E44</f>
        <v>4655007403</v>
      </c>
      <c r="F45" s="201">
        <f>SUM(F43:F44)</f>
        <v>1894758026</v>
      </c>
    </row>
    <row r="46" spans="1:11">
      <c r="C46" s="214"/>
      <c r="D46" s="254"/>
      <c r="E46" s="506"/>
      <c r="F46" s="499"/>
    </row>
    <row r="47" spans="1:11">
      <c r="A47" s="955" t="s">
        <v>143</v>
      </c>
      <c r="B47" s="955"/>
      <c r="C47" s="955"/>
      <c r="D47" s="248"/>
      <c r="E47" s="533">
        <f>+E40+E45</f>
        <v>235504550126</v>
      </c>
      <c r="F47" s="533">
        <f>+F40+F45</f>
        <v>340663939659</v>
      </c>
      <c r="G47" s="98"/>
    </row>
    <row r="48" spans="1:11">
      <c r="A48" s="955" t="s">
        <v>144</v>
      </c>
      <c r="B48" s="955"/>
      <c r="C48" s="955"/>
      <c r="D48" s="248"/>
      <c r="J48" s="214"/>
    </row>
    <row r="49" spans="1:10">
      <c r="B49" s="948" t="s">
        <v>55</v>
      </c>
      <c r="C49" s="948"/>
      <c r="D49" s="252">
        <v>20</v>
      </c>
      <c r="E49" s="516">
        <f>'Nota 20'!B14</f>
        <v>785552102000</v>
      </c>
      <c r="F49" s="516">
        <f>'Nota 20'!C14</f>
        <v>785552102000</v>
      </c>
    </row>
    <row r="50" spans="1:10">
      <c r="B50" s="948" t="s">
        <v>57</v>
      </c>
      <c r="C50" s="948"/>
      <c r="D50" s="251">
        <v>21</v>
      </c>
      <c r="E50" s="516">
        <f>' Nota 21'!B9</f>
        <v>178972541980</v>
      </c>
      <c r="F50" s="516">
        <f>'[1] Nota 21'!C9</f>
        <v>178972541980</v>
      </c>
      <c r="J50" s="98"/>
    </row>
    <row r="51" spans="1:10">
      <c r="B51" s="948" t="s">
        <v>59</v>
      </c>
      <c r="C51" s="948"/>
      <c r="D51" s="251">
        <v>21</v>
      </c>
      <c r="E51" s="516">
        <f>' Nota 21'!B15</f>
        <v>60926544321</v>
      </c>
      <c r="F51" s="516">
        <f>' Nota 21'!C15</f>
        <v>55328905233</v>
      </c>
      <c r="J51" s="98"/>
    </row>
    <row r="52" spans="1:10">
      <c r="B52" s="948" t="s">
        <v>145</v>
      </c>
      <c r="C52" s="948"/>
      <c r="D52" s="251">
        <v>21</v>
      </c>
      <c r="E52" s="516">
        <f>+' Nota 21'!B30+' Nota 21'!B37</f>
        <v>75110831505</v>
      </c>
      <c r="F52" s="516">
        <f>+' Nota 21'!C30+' Nota 21'!C37</f>
        <v>5979988750</v>
      </c>
      <c r="J52" s="98"/>
    </row>
    <row r="53" spans="1:10" hidden="1">
      <c r="B53" s="948" t="s">
        <v>146</v>
      </c>
      <c r="C53" s="948"/>
      <c r="D53" s="251">
        <v>21</v>
      </c>
      <c r="E53" s="714">
        <v>0</v>
      </c>
      <c r="F53" s="714">
        <v>0</v>
      </c>
    </row>
    <row r="54" spans="1:10" hidden="1">
      <c r="B54" s="948" t="s">
        <v>62</v>
      </c>
      <c r="C54" s="948"/>
      <c r="D54" s="251">
        <v>22</v>
      </c>
      <c r="E54" s="714">
        <v>0</v>
      </c>
      <c r="F54" s="714">
        <v>0</v>
      </c>
    </row>
    <row r="55" spans="1:10" hidden="1">
      <c r="B55" s="948" t="s">
        <v>64</v>
      </c>
      <c r="C55" s="948"/>
      <c r="D55" s="251">
        <v>23</v>
      </c>
      <c r="E55" s="198">
        <f>+'Nota 23'!B6</f>
        <v>0</v>
      </c>
      <c r="F55" s="198">
        <f>+'Nota 23'!C6</f>
        <v>0</v>
      </c>
      <c r="G55" s="98"/>
    </row>
    <row r="56" spans="1:10">
      <c r="B56" s="948" t="s">
        <v>147</v>
      </c>
      <c r="C56" s="948"/>
      <c r="D56" s="251">
        <v>23</v>
      </c>
      <c r="E56" s="544">
        <f>+'Nota 23'!B12</f>
        <v>45517033401</v>
      </c>
      <c r="F56" s="544">
        <f>+'Nota 23'!C12</f>
        <v>111952781789</v>
      </c>
    </row>
    <row r="57" spans="1:10">
      <c r="B57" s="949" t="s">
        <v>148</v>
      </c>
      <c r="C57" s="949"/>
      <c r="D57" s="249"/>
      <c r="E57" s="504">
        <f>SUM(E49:E56)</f>
        <v>1146079053207</v>
      </c>
      <c r="F57" s="504">
        <f>SUM(F49:F56)</f>
        <v>1137786319752</v>
      </c>
      <c r="G57" s="98"/>
      <c r="J57" s="570"/>
    </row>
    <row r="58" spans="1:10" hidden="1">
      <c r="B58" s="948" t="s">
        <v>66</v>
      </c>
      <c r="C58" s="948"/>
      <c r="D58" s="252">
        <v>24</v>
      </c>
      <c r="E58" s="516">
        <v>0</v>
      </c>
      <c r="F58" s="516">
        <f>'[1]Nota 24'!C7</f>
        <v>0</v>
      </c>
    </row>
    <row r="59" spans="1:10">
      <c r="A59" s="955" t="s">
        <v>149</v>
      </c>
      <c r="B59" s="955"/>
      <c r="C59" s="955"/>
      <c r="D59" s="248"/>
      <c r="E59" s="533">
        <f>E57</f>
        <v>1146079053207</v>
      </c>
      <c r="F59" s="533">
        <f>F57+1</f>
        <v>1137786319753</v>
      </c>
      <c r="H59" s="570"/>
      <c r="J59" s="98"/>
    </row>
    <row r="60" spans="1:10">
      <c r="A60" s="955" t="s">
        <v>150</v>
      </c>
      <c r="B60" s="955"/>
      <c r="C60" s="955"/>
      <c r="D60" s="88"/>
      <c r="E60" s="533">
        <f>+E47+E59</f>
        <v>1381583603333</v>
      </c>
      <c r="F60" s="533">
        <f>F47+F59</f>
        <v>1478450259412</v>
      </c>
      <c r="G60" s="98"/>
      <c r="H60" s="98"/>
      <c r="J60" s="98"/>
    </row>
    <row r="61" spans="1:10">
      <c r="A61" s="82"/>
      <c r="D61" s="40"/>
      <c r="E61" s="515"/>
      <c r="F61" s="506"/>
      <c r="G61" s="214"/>
      <c r="J61" s="98"/>
    </row>
    <row r="62" spans="1:10">
      <c r="A62" s="825" t="s">
        <v>151</v>
      </c>
      <c r="B62" s="826"/>
      <c r="C62" s="826"/>
      <c r="D62" s="827"/>
      <c r="E62" s="828"/>
      <c r="F62" s="829"/>
      <c r="J62" s="98"/>
    </row>
    <row r="63" spans="1:10">
      <c r="A63" s="82"/>
      <c r="D63" s="40"/>
      <c r="F63" s="527"/>
      <c r="J63" s="214"/>
    </row>
    <row r="64" spans="1:10">
      <c r="A64" s="82"/>
      <c r="D64" s="40"/>
      <c r="E64" s="560"/>
      <c r="F64" s="506"/>
    </row>
    <row r="65" spans="1:10">
      <c r="A65" s="82"/>
      <c r="D65" s="40"/>
      <c r="E65" s="506"/>
      <c r="F65" s="527"/>
      <c r="J65" s="570"/>
    </row>
    <row r="66" spans="1:10">
      <c r="D66" s="40"/>
      <c r="E66" s="506"/>
    </row>
    <row r="67" spans="1:10">
      <c r="A67" s="77"/>
      <c r="B67" s="77"/>
      <c r="C67" s="77"/>
      <c r="D67" s="78"/>
      <c r="E67" s="956"/>
      <c r="F67" s="956"/>
    </row>
    <row r="68" spans="1:10">
      <c r="A68" s="79"/>
      <c r="B68" s="79"/>
      <c r="C68" s="80"/>
      <c r="D68" s="81"/>
      <c r="E68" s="953"/>
      <c r="F68" s="953"/>
    </row>
    <row r="69" spans="1:10">
      <c r="A69" s="403"/>
      <c r="B69" s="403"/>
      <c r="C69" s="82"/>
      <c r="D69" s="76"/>
      <c r="E69" s="501"/>
      <c r="F69" s="523"/>
    </row>
    <row r="70" spans="1:10">
      <c r="A70" s="403"/>
      <c r="B70" s="403"/>
      <c r="C70" s="82"/>
      <c r="D70" s="76"/>
      <c r="E70" s="501"/>
      <c r="F70" s="523"/>
    </row>
    <row r="71" spans="1:10">
      <c r="A71" s="403"/>
      <c r="B71" s="403"/>
      <c r="C71" s="82"/>
      <c r="D71" s="76"/>
      <c r="E71" s="501"/>
      <c r="F71" s="523"/>
    </row>
    <row r="72" spans="1:10">
      <c r="D72" s="40"/>
      <c r="E72" s="956"/>
      <c r="F72" s="956"/>
    </row>
    <row r="73" spans="1:10">
      <c r="A73" s="82"/>
      <c r="B73" s="82"/>
      <c r="C73" s="82"/>
      <c r="D73" s="76"/>
      <c r="E73" s="953"/>
      <c r="F73" s="953"/>
    </row>
    <row r="74" spans="1:10" s="82" customFormat="1">
      <c r="A74" s="954"/>
      <c r="B74" s="954"/>
      <c r="C74" s="954"/>
      <c r="D74" s="76"/>
      <c r="E74" s="501"/>
      <c r="F74" s="501"/>
    </row>
    <row r="75" spans="1:10">
      <c r="B75" s="73"/>
      <c r="C75" s="371"/>
      <c r="D75" s="40"/>
    </row>
    <row r="76" spans="1:10">
      <c r="B76" s="83"/>
      <c r="C76" s="82"/>
      <c r="D76" s="76"/>
      <c r="E76" s="501"/>
    </row>
    <row r="77" spans="1:10">
      <c r="C77" s="84"/>
      <c r="D77" s="85"/>
      <c r="E77" s="535"/>
    </row>
    <row r="78" spans="1:10">
      <c r="C78" s="84"/>
      <c r="D78" s="85"/>
      <c r="E78" s="535"/>
    </row>
    <row r="79" spans="1:10">
      <c r="C79" s="84"/>
      <c r="D79" s="85"/>
      <c r="E79" s="535"/>
    </row>
    <row r="80" spans="1:10">
      <c r="C80" s="84"/>
      <c r="D80" s="85"/>
      <c r="E80" s="535"/>
    </row>
    <row r="81" spans="2:5">
      <c r="C81" s="84"/>
      <c r="D81" s="85"/>
      <c r="E81" s="535"/>
    </row>
    <row r="82" spans="2:5">
      <c r="D82" s="40"/>
    </row>
    <row r="83" spans="2:5">
      <c r="B83" s="73"/>
      <c r="D83" s="40"/>
    </row>
    <row r="84" spans="2:5">
      <c r="B84" s="83"/>
      <c r="C84" s="82"/>
      <c r="D84" s="76"/>
      <c r="E84" s="501"/>
    </row>
    <row r="85" spans="2:5">
      <c r="C85" s="82"/>
      <c r="D85" s="86"/>
      <c r="E85" s="501"/>
    </row>
  </sheetData>
  <mergeCells count="44">
    <mergeCell ref="C6:I6"/>
    <mergeCell ref="E73:F73"/>
    <mergeCell ref="A74:C74"/>
    <mergeCell ref="A8:C8"/>
    <mergeCell ref="A31:C31"/>
    <mergeCell ref="A48:C48"/>
    <mergeCell ref="A47:C47"/>
    <mergeCell ref="A59:C59"/>
    <mergeCell ref="E72:F72"/>
    <mergeCell ref="A30:C30"/>
    <mergeCell ref="A60:C60"/>
    <mergeCell ref="B39:C39"/>
    <mergeCell ref="B44:C44"/>
    <mergeCell ref="B49:C49"/>
    <mergeCell ref="E68:F68"/>
    <mergeCell ref="E67:F67"/>
    <mergeCell ref="B24:C24"/>
    <mergeCell ref="B56:C56"/>
    <mergeCell ref="B28:C28"/>
    <mergeCell ref="B35:C35"/>
    <mergeCell ref="B50:C50"/>
    <mergeCell ref="B58:C58"/>
    <mergeCell ref="B52:C52"/>
    <mergeCell ref="B53:C53"/>
    <mergeCell ref="B54:C54"/>
    <mergeCell ref="B51:C51"/>
    <mergeCell ref="B55:C55"/>
    <mergeCell ref="B57:C57"/>
    <mergeCell ref="B15:C15"/>
    <mergeCell ref="B43:C43"/>
    <mergeCell ref="B10:C10"/>
    <mergeCell ref="B11:C11"/>
    <mergeCell ref="B12:C12"/>
    <mergeCell ref="B13:C13"/>
    <mergeCell ref="B26:C26"/>
    <mergeCell ref="B34:C34"/>
    <mergeCell ref="B36:C36"/>
    <mergeCell ref="B37:C37"/>
    <mergeCell ref="B38:C38"/>
    <mergeCell ref="B23:C23"/>
    <mergeCell ref="B25:C25"/>
    <mergeCell ref="B19:C19"/>
    <mergeCell ref="B21:C21"/>
    <mergeCell ref="B22:C22"/>
  </mergeCells>
  <hyperlinks>
    <hyperlink ref="D10" location="'Nota 3'!A1" display="'Nota 3'!A1" xr:uid="{00000000-0004-0000-0200-000000000000}"/>
    <hyperlink ref="D11" location="'Nota 4'!A1" display="'Nota 4'!A1" xr:uid="{00000000-0004-0000-0200-000001000000}"/>
    <hyperlink ref="D12" location="'Nota 5'!A1" display="'Nota 5'!A1" xr:uid="{00000000-0004-0000-0200-000002000000}"/>
    <hyperlink ref="D13" location="'Nota 6'!A1" display="'Nota 6'!A1" xr:uid="{00000000-0004-0000-0200-000003000000}"/>
    <hyperlink ref="D14" location="'Nota 7'!A1" display="'Nota 7'!A1" xr:uid="{00000000-0004-0000-0200-000004000000}"/>
    <hyperlink ref="D21" location="'Nota 8'!A1" display="'Nota 8'!A1" xr:uid="{00000000-0004-0000-0200-000006000000}"/>
    <hyperlink ref="D25" location="'Nota 11'!A1" display="'Nota 11'!A1" xr:uid="{00000000-0004-0000-0200-000007000000}"/>
    <hyperlink ref="D26" location="'Nota 12'!A1" display="'Nota 12'!A1" xr:uid="{00000000-0004-0000-0200-000008000000}"/>
    <hyperlink ref="D34" location="'Nota 13'!A1" display="'Nota 13'!A1" xr:uid="{00000000-0004-0000-0200-000009000000}"/>
    <hyperlink ref="D35" location="'Nota 14'!A1" display="'Nota 14'!A1" xr:uid="{00000000-0004-0000-0200-00000A000000}"/>
    <hyperlink ref="D36" location="'Nota 16'!A1" display="'Nota 16'!A1" xr:uid="{00000000-0004-0000-0200-00000B000000}"/>
    <hyperlink ref="D37" location="'Nota 17'!A1" display="'Nota 17'!A1" xr:uid="{00000000-0004-0000-0200-00000C000000}"/>
    <hyperlink ref="D38" location="'Nota 18'!A1" display="'Nota 18'!A1" xr:uid="{00000000-0004-0000-0200-00000D000000}"/>
    <hyperlink ref="D39" location="'Nota 19'!A1" display="'Nota 19'!A1" xr:uid="{00000000-0004-0000-0200-00000E000000}"/>
    <hyperlink ref="D49" location="'Nota 20'!A1" display="'Nota 20'!A1" xr:uid="{00000000-0004-0000-0200-00000F000000}"/>
    <hyperlink ref="D1" location="Indice!A1" display="Indice" xr:uid="{00000000-0004-0000-0200-000017000000}"/>
    <hyperlink ref="D23" location="'Nota 7'!A1" display="'Nota 7'!A1" xr:uid="{00000000-0004-0000-0200-000018000000}"/>
    <hyperlink ref="D22" location="'Nota 9'!A1" display="'Nota 9'!A1" xr:uid="{00000000-0004-0000-0200-000019000000}"/>
    <hyperlink ref="D15" location="'Nota 6'!A1" display="'Nota 6'!A1" xr:uid="{00000000-0004-0000-0200-00001B000000}"/>
    <hyperlink ref="D27" location="'Nota 10'!A1" display="'Nota 10'!A1" xr:uid="{00000000-0004-0000-0200-00001C000000}"/>
    <hyperlink ref="D50" location="' Nota 21'!A1" display="' Nota 21'!A1" xr:uid="{00000000-0004-0000-0200-000011000000}"/>
    <hyperlink ref="D24" location="'Nota 6'!A1" display="'Nota 6'!A1" xr:uid="{D45027C4-54CE-46E3-9FDD-4E507965F55B}"/>
    <hyperlink ref="D44" location="'Nota 19'!A1" display="'Nota 19'!A1" xr:uid="{A248BD30-955D-4AB7-B633-95E81C8C5D89}"/>
    <hyperlink ref="D51:D52" location="' Nota 21'!A1" display="' Nota 21'!A1" xr:uid="{2562C699-CE65-4572-91C9-3E01E105D1F1}"/>
    <hyperlink ref="D20" location="'Nota 5'!A1" display="'Nota 5'!A1" xr:uid="{00000000-0004-0000-0200-00001D000000}"/>
    <hyperlink ref="D19" location="'Nota 6'!A1" display="'Nota 6'!A1" xr:uid="{00000000-0004-0000-0200-000005000000}"/>
    <hyperlink ref="D58" location="'Nota 24'!A1" display="'Nota 24'!A1" xr:uid="{00000000-0004-0000-0200-000016000000}"/>
    <hyperlink ref="D53" location="' Nota 21'!A1" display="' Nota 21'!A1" xr:uid="{D87B9993-8B44-4CB8-A33C-D51B9551397C}"/>
    <hyperlink ref="D54" location="'Nota 22'!A1" display="'Nota 22'!A1" xr:uid="{A9006E93-669F-4B92-8AE6-6523D963EF11}"/>
    <hyperlink ref="D55" location="'Nota 23'!A1" display="'Nota 23'!A1" xr:uid="{88A4EDF7-1CE1-42D3-BB79-9D57CC385578}"/>
    <hyperlink ref="D56" location="'Nota 23'!A1" display="'Nota 23'!A1" xr:uid="{A0D85E24-9021-438F-8F2C-8C6E6470A054}"/>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F07-FC5E-43EF-BFED-6A14C134D98D}">
  <sheetPr codeName="Hoja28"/>
  <dimension ref="A1:AF15"/>
  <sheetViews>
    <sheetView showGridLines="0" workbookViewId="0">
      <selection activeCell="C1" sqref="C1"/>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2" ht="18.75" customHeight="1">
      <c r="A1" s="217" t="str">
        <f>Indice!C1</f>
        <v>NICOLAS GONZALEZ ODDONE S.A.E.C.A</v>
      </c>
      <c r="B1" s="217"/>
      <c r="C1" s="632" t="s">
        <v>18</v>
      </c>
      <c r="D1" s="227"/>
      <c r="E1" s="94"/>
      <c r="F1" s="227"/>
      <c r="G1" s="9"/>
      <c r="H1" s="9"/>
      <c r="I1" s="9"/>
      <c r="J1" s="9"/>
      <c r="K1" s="9"/>
      <c r="L1" s="9"/>
      <c r="M1" s="9"/>
      <c r="N1" s="9"/>
      <c r="O1" s="9"/>
      <c r="P1"/>
      <c r="Q1"/>
      <c r="R1"/>
      <c r="S1"/>
      <c r="T1"/>
      <c r="U1"/>
      <c r="V1"/>
      <c r="W1"/>
      <c r="X1"/>
      <c r="Y1"/>
    </row>
    <row r="2" spans="1:32" ht="18.75" customHeight="1">
      <c r="A2" s="145"/>
      <c r="B2" s="145"/>
      <c r="C2" s="633"/>
      <c r="D2" s="227"/>
      <c r="E2" s="94"/>
      <c r="F2" s="227"/>
      <c r="G2" s="9"/>
      <c r="H2" s="9"/>
      <c r="I2" s="9"/>
      <c r="J2" s="9"/>
      <c r="K2" s="9"/>
      <c r="L2" s="9"/>
      <c r="M2" s="9"/>
      <c r="N2" s="9"/>
      <c r="O2" s="9"/>
      <c r="P2"/>
      <c r="Q2"/>
      <c r="R2"/>
      <c r="S2"/>
      <c r="T2"/>
      <c r="U2"/>
      <c r="V2"/>
      <c r="W2"/>
      <c r="X2"/>
      <c r="Y2"/>
    </row>
    <row r="3" spans="1:32" ht="19.5" customHeight="1">
      <c r="A3" s="221" t="s">
        <v>775</v>
      </c>
      <c r="B3" s="235"/>
      <c r="C3" s="235"/>
      <c r="D3" s="235"/>
      <c r="E3" s="235"/>
      <c r="F3" s="235"/>
      <c r="Z3" s="3"/>
      <c r="AA3" s="3"/>
      <c r="AB3" s="3"/>
      <c r="AC3" s="3"/>
      <c r="AD3" s="3"/>
      <c r="AE3" s="3"/>
      <c r="AF3" s="3"/>
    </row>
    <row r="4" spans="1:32" hidden="1">
      <c r="A4" s="997"/>
      <c r="B4" s="997"/>
      <c r="Z4" s="3"/>
      <c r="AA4" s="3"/>
      <c r="AB4" s="3"/>
      <c r="AC4" s="3"/>
      <c r="AD4" s="3"/>
      <c r="AE4" s="3"/>
      <c r="AF4" s="3"/>
    </row>
    <row r="5" spans="1:32" hidden="1">
      <c r="A5" s="394" t="s">
        <v>776</v>
      </c>
      <c r="B5" s="585">
        <v>44834</v>
      </c>
      <c r="C5" s="585">
        <v>44561</v>
      </c>
      <c r="Z5" s="3"/>
      <c r="AA5" s="3"/>
      <c r="AB5" s="3"/>
      <c r="AC5" s="3"/>
      <c r="AD5" s="3"/>
      <c r="AE5" s="3"/>
      <c r="AF5" s="3"/>
    </row>
    <row r="6" spans="1:32" hidden="1">
      <c r="A6" s="2" t="s">
        <v>777</v>
      </c>
      <c r="B6" s="106">
        <v>0</v>
      </c>
      <c r="C6" s="106">
        <v>0</v>
      </c>
      <c r="Z6" s="3"/>
      <c r="AA6" s="3"/>
      <c r="AB6" s="3"/>
      <c r="AC6" s="3"/>
      <c r="AD6" s="3"/>
      <c r="AE6" s="3"/>
      <c r="AF6" s="3"/>
    </row>
    <row r="7" spans="1:32" ht="15.75" hidden="1" thickBot="1">
      <c r="A7" s="99" t="s">
        <v>778</v>
      </c>
      <c r="B7" s="911">
        <f>SUM($B6:B$6)</f>
        <v>0</v>
      </c>
      <c r="C7" s="911">
        <f>SUM($C6:C$6)</f>
        <v>0</v>
      </c>
      <c r="Z7" s="3"/>
      <c r="AA7" s="3"/>
      <c r="AB7" s="3"/>
      <c r="AC7" s="3"/>
      <c r="AD7" s="3"/>
      <c r="AE7" s="3"/>
      <c r="AF7" s="3"/>
    </row>
    <row r="8" spans="1:32" hidden="1">
      <c r="A8" s="705"/>
      <c r="B8" s="705"/>
      <c r="Z8" s="3"/>
      <c r="AA8" s="3"/>
      <c r="AB8" s="3"/>
      <c r="AC8" s="3"/>
      <c r="AD8" s="3"/>
      <c r="AE8" s="3"/>
      <c r="AF8" s="3"/>
    </row>
    <row r="9" spans="1:32">
      <c r="B9" s="996"/>
      <c r="C9" s="996"/>
      <c r="Z9" s="3"/>
      <c r="AA9" s="3"/>
      <c r="AB9" s="3"/>
      <c r="AC9" s="3"/>
      <c r="AD9" s="3"/>
      <c r="AE9" s="3"/>
      <c r="AF9" s="3"/>
    </row>
    <row r="10" spans="1:32">
      <c r="A10" s="394" t="s">
        <v>776</v>
      </c>
      <c r="B10" s="585">
        <v>44834</v>
      </c>
      <c r="C10" s="585">
        <v>44561</v>
      </c>
      <c r="Z10" s="3"/>
      <c r="AA10" s="3"/>
      <c r="AB10" s="3"/>
      <c r="AC10" s="3"/>
      <c r="AD10" s="3"/>
      <c r="AE10" s="3"/>
      <c r="AF10" s="3"/>
    </row>
    <row r="11" spans="1:32" hidden="1">
      <c r="A11" s="2" t="s">
        <v>779</v>
      </c>
      <c r="B11" s="106">
        <v>0</v>
      </c>
      <c r="C11" s="106">
        <v>0</v>
      </c>
      <c r="D11" s="205"/>
      <c r="Z11" s="3"/>
      <c r="AA11" s="3"/>
      <c r="AB11" s="3"/>
      <c r="AC11" s="3"/>
      <c r="AD11" s="3"/>
      <c r="AE11" s="3"/>
      <c r="AF11" s="3"/>
    </row>
    <row r="12" spans="1:32">
      <c r="A12" s="2" t="s">
        <v>780</v>
      </c>
      <c r="B12" s="106">
        <v>45517033401</v>
      </c>
      <c r="C12" s="106">
        <v>111952781789</v>
      </c>
      <c r="D12" s="205"/>
      <c r="Z12" s="3"/>
      <c r="AA12" s="3"/>
      <c r="AB12" s="3"/>
      <c r="AC12" s="3"/>
      <c r="AD12" s="3"/>
      <c r="AE12" s="3"/>
      <c r="AF12" s="3"/>
    </row>
    <row r="13" spans="1:32" ht="18.75" customHeight="1" thickBot="1">
      <c r="A13" s="99" t="s">
        <v>778</v>
      </c>
      <c r="B13" s="911">
        <f>SUM($B$12:B12)</f>
        <v>45517033401</v>
      </c>
      <c r="C13" s="911">
        <f>SUM($C$12:C12)</f>
        <v>111952781789</v>
      </c>
      <c r="D13" s="205"/>
      <c r="Z13" s="3"/>
      <c r="AA13" s="3"/>
      <c r="AB13" s="3"/>
      <c r="AC13" s="3"/>
      <c r="AD13" s="3"/>
      <c r="AE13" s="3"/>
      <c r="AF13" s="3"/>
    </row>
    <row r="14" spans="1:32" ht="15.75" thickTop="1">
      <c r="B14" s="205"/>
      <c r="C14" s="205"/>
      <c r="D14" s="205"/>
      <c r="Z14" s="3"/>
      <c r="AA14" s="3"/>
      <c r="AB14" s="3"/>
      <c r="AC14" s="3"/>
      <c r="AD14" s="3"/>
      <c r="AE14" s="3"/>
      <c r="AF14" s="3"/>
    </row>
    <row r="15" spans="1:32">
      <c r="B15" s="205"/>
      <c r="C15" s="205"/>
      <c r="D15" s="205"/>
      <c r="Z15" s="3"/>
      <c r="AA15" s="3"/>
      <c r="AB15" s="3"/>
      <c r="AC15" s="3"/>
      <c r="AD15" s="3"/>
      <c r="AE15" s="3"/>
      <c r="AF15" s="3"/>
    </row>
  </sheetData>
  <mergeCells count="2">
    <mergeCell ref="A4:B4"/>
    <mergeCell ref="B9:C9"/>
  </mergeCells>
  <hyperlinks>
    <hyperlink ref="C1" location="BG!A1" display="BG" xr:uid="{B3568C9D-F8EC-48E3-8632-2F2E42AE60FC}"/>
  </hyperlinks>
  <pageMargins left="1.9685039370078741" right="1.7716535433070868" top="1.9685039370078741" bottom="0.74803149606299213" header="0.31496062992125984" footer="0.31496062992125984"/>
  <pageSetup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81A6-4972-4BD6-A409-E4BC20972C94}">
  <sheetPr codeName="Hoja29"/>
  <dimension ref="A1:AH10"/>
  <sheetViews>
    <sheetView showGridLines="0" workbookViewId="0">
      <selection activeCell="B7" sqref="B7"/>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4" ht="18.75" customHeight="1">
      <c r="A1" s="217" t="str">
        <f>Indice!C1</f>
        <v>NICOLAS GONZALEZ ODDONE S.A.E.C.A</v>
      </c>
      <c r="B1" s="217"/>
      <c r="C1" s="632" t="s">
        <v>18</v>
      </c>
      <c r="D1" s="227"/>
      <c r="E1" s="94"/>
      <c r="F1" s="227"/>
      <c r="G1" s="9"/>
      <c r="H1" s="9"/>
      <c r="I1" s="9"/>
      <c r="J1" s="9"/>
      <c r="K1" s="9"/>
      <c r="L1" s="9"/>
      <c r="M1" s="9"/>
      <c r="N1" s="9"/>
      <c r="O1" s="9"/>
      <c r="P1"/>
      <c r="Q1"/>
      <c r="R1"/>
      <c r="S1"/>
      <c r="T1"/>
      <c r="U1"/>
      <c r="V1"/>
      <c r="W1"/>
      <c r="X1"/>
      <c r="Y1"/>
    </row>
    <row r="2" spans="1:34" ht="18.75" customHeight="1">
      <c r="A2" s="145"/>
      <c r="B2" s="145"/>
      <c r="C2" s="633"/>
      <c r="D2" s="227"/>
      <c r="E2" s="94"/>
      <c r="F2" s="227"/>
      <c r="G2" s="9"/>
      <c r="H2" s="9"/>
      <c r="I2" s="9"/>
      <c r="J2" s="9"/>
      <c r="K2" s="9"/>
      <c r="L2" s="9"/>
      <c r="M2" s="9"/>
      <c r="N2" s="9"/>
      <c r="O2" s="9"/>
      <c r="P2"/>
      <c r="Q2"/>
      <c r="R2"/>
      <c r="S2"/>
      <c r="T2"/>
      <c r="U2"/>
      <c r="V2"/>
      <c r="W2"/>
      <c r="X2"/>
      <c r="Y2"/>
    </row>
    <row r="3" spans="1:34" ht="18" customHeight="1">
      <c r="A3" s="221" t="s">
        <v>781</v>
      </c>
      <c r="B3" s="221"/>
      <c r="C3" s="221"/>
      <c r="D3" s="221"/>
      <c r="E3" s="44"/>
      <c r="F3" s="45"/>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c r="A4" s="987" t="s">
        <v>344</v>
      </c>
      <c r="B4" s="987"/>
      <c r="G4" s="9"/>
      <c r="H4" s="9"/>
      <c r="I4" s="9"/>
      <c r="J4" s="9"/>
      <c r="K4" s="9"/>
      <c r="L4" s="9"/>
      <c r="M4" s="9"/>
      <c r="N4" s="9"/>
      <c r="O4" s="9"/>
      <c r="P4" s="9"/>
      <c r="Q4" s="9"/>
      <c r="R4" s="9"/>
      <c r="S4" s="9"/>
      <c r="T4" s="9"/>
      <c r="U4" s="9"/>
      <c r="V4" s="9"/>
      <c r="W4" s="9"/>
      <c r="X4" s="9"/>
      <c r="Y4" s="9"/>
      <c r="Z4" s="9"/>
      <c r="AA4" s="9"/>
      <c r="AB4" s="9"/>
      <c r="AC4" s="9"/>
      <c r="AD4" s="9"/>
      <c r="AE4" s="9"/>
      <c r="AF4" s="9"/>
      <c r="AG4" s="9"/>
      <c r="AH4" s="9"/>
    </row>
    <row r="5" spans="1:34" ht="23.25">
      <c r="A5" s="268" t="s">
        <v>620</v>
      </c>
      <c r="B5" s="996"/>
      <c r="C5" s="996"/>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ht="12.75" customHeight="1">
      <c r="A6" s="186"/>
      <c r="B6" s="585">
        <v>44834</v>
      </c>
      <c r="C6" s="585">
        <v>44561</v>
      </c>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c r="A7" s="2" t="s">
        <v>165</v>
      </c>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c r="B8" s="561"/>
      <c r="C8" s="561"/>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c r="B9" s="562" t="s">
        <v>676</v>
      </c>
      <c r="C9" s="562" t="s">
        <v>676</v>
      </c>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B10" s="996"/>
      <c r="C10" s="996"/>
      <c r="Z10" s="3"/>
      <c r="AA10" s="3"/>
      <c r="AB10" s="3"/>
      <c r="AC10" s="3"/>
      <c r="AD10" s="3"/>
      <c r="AE10" s="3"/>
      <c r="AF10" s="3"/>
    </row>
  </sheetData>
  <mergeCells count="3">
    <mergeCell ref="A4:B4"/>
    <mergeCell ref="B10:C10"/>
    <mergeCell ref="B5:C5"/>
  </mergeCells>
  <hyperlinks>
    <hyperlink ref="C1" location="BG!A1" display="BG" xr:uid="{2EADCD5C-ACEB-4C16-825D-7421969BA163}"/>
  </hyperlinks>
  <pageMargins left="1.9685039370078741" right="1.7716535433070868" top="1.9685039370078741" bottom="0.74803149606299213" header="0.31496062992125984" footer="0.31496062992125984"/>
  <pageSetup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AG26"/>
  <sheetViews>
    <sheetView showGridLines="0" workbookViewId="0">
      <selection activeCell="B12" sqref="B12"/>
    </sheetView>
  </sheetViews>
  <sheetFormatPr baseColWidth="10" defaultColWidth="11.42578125" defaultRowHeight="12"/>
  <cols>
    <col min="1" max="1" width="31.7109375" style="94" customWidth="1"/>
    <col min="2" max="2" width="19.140625" style="94" customWidth="1"/>
    <col min="3" max="3" width="17.7109375" style="94" customWidth="1"/>
    <col min="4" max="4" width="0.140625" style="94" hidden="1" customWidth="1"/>
    <col min="5" max="5" width="11.42578125" style="94" hidden="1" customWidth="1"/>
    <col min="6" max="6" width="0.28515625" style="94" customWidth="1"/>
    <col min="7" max="7" width="14.28515625" style="94" bestFit="1" customWidth="1"/>
    <col min="8" max="8" width="14.28515625" style="95" bestFit="1" customWidth="1"/>
    <col min="9" max="33" width="11.42578125" style="94"/>
    <col min="34" max="16384" width="11.42578125" style="6"/>
  </cols>
  <sheetData>
    <row r="1" spans="1:33" customFormat="1" ht="18.75" customHeight="1">
      <c r="A1" s="217" t="str">
        <f>Indice!C1</f>
        <v>NICOLAS GONZALEZ ODDONE S.A.E.C.A</v>
      </c>
      <c r="B1" s="217"/>
      <c r="C1" s="632" t="s">
        <v>69</v>
      </c>
      <c r="D1" s="227"/>
      <c r="E1" s="94"/>
      <c r="F1" s="227"/>
      <c r="G1" s="9"/>
      <c r="H1" s="62"/>
      <c r="I1" s="9"/>
      <c r="J1" s="9"/>
      <c r="K1" s="9"/>
      <c r="L1" s="9"/>
      <c r="M1" s="9"/>
      <c r="N1" s="9"/>
      <c r="O1" s="9"/>
    </row>
    <row r="2" spans="1:33" customFormat="1" ht="18.75" customHeight="1">
      <c r="A2" s="145"/>
      <c r="B2" s="145"/>
      <c r="C2" s="633"/>
      <c r="D2" s="227"/>
      <c r="E2" s="94"/>
      <c r="F2" s="227"/>
      <c r="G2" s="9"/>
      <c r="H2" s="62"/>
      <c r="I2" s="9"/>
      <c r="J2" s="9"/>
      <c r="K2" s="9"/>
      <c r="L2" s="9"/>
      <c r="M2" s="9"/>
      <c r="N2" s="9"/>
      <c r="O2" s="9"/>
    </row>
    <row r="3" spans="1:33" ht="15.75" customHeight="1">
      <c r="A3" s="221" t="s">
        <v>782</v>
      </c>
      <c r="B3" s="221"/>
      <c r="C3" s="221"/>
      <c r="D3" s="221"/>
      <c r="E3" s="221"/>
      <c r="F3" s="221"/>
      <c r="G3" s="2"/>
      <c r="H3" s="197"/>
      <c r="I3" s="2"/>
      <c r="J3" s="2"/>
      <c r="K3" s="2"/>
      <c r="L3" s="2"/>
      <c r="M3" s="2"/>
      <c r="N3" s="2"/>
      <c r="O3" s="2"/>
      <c r="P3" s="2"/>
      <c r="Q3" s="2"/>
      <c r="R3" s="2"/>
      <c r="S3" s="2"/>
      <c r="T3" s="2"/>
      <c r="U3" s="2"/>
      <c r="V3" s="2"/>
      <c r="W3" s="2"/>
      <c r="X3" s="2"/>
      <c r="Y3" s="2"/>
      <c r="Z3" s="2"/>
      <c r="AA3" s="2"/>
      <c r="AB3" s="2"/>
      <c r="AC3" s="2"/>
      <c r="AD3" s="2"/>
      <c r="AE3" s="2"/>
      <c r="AF3" s="2"/>
      <c r="AG3" s="6"/>
    </row>
    <row r="4" spans="1:33">
      <c r="A4" s="987" t="s">
        <v>344</v>
      </c>
      <c r="B4" s="987"/>
    </row>
    <row r="5" spans="1:33">
      <c r="B5" s="986"/>
      <c r="C5" s="986"/>
    </row>
    <row r="6" spans="1:33" ht="12.75">
      <c r="A6" s="908" t="s">
        <v>345</v>
      </c>
      <c r="B6" s="585">
        <v>44834</v>
      </c>
      <c r="C6" s="585">
        <v>44469</v>
      </c>
      <c r="D6" s="2"/>
      <c r="E6" s="2"/>
      <c r="F6" s="2"/>
      <c r="G6" s="2"/>
      <c r="H6" s="197"/>
      <c r="I6" s="2"/>
      <c r="J6" s="2"/>
      <c r="K6" s="2"/>
      <c r="L6" s="2"/>
      <c r="M6" s="2"/>
      <c r="N6" s="2"/>
      <c r="O6" s="2"/>
      <c r="P6" s="2"/>
      <c r="Q6" s="2"/>
      <c r="R6" s="2"/>
      <c r="S6" s="2"/>
      <c r="T6" s="2"/>
      <c r="U6" s="2"/>
      <c r="V6" s="2"/>
      <c r="W6" s="2"/>
      <c r="X6" s="2"/>
      <c r="Y6" s="2"/>
      <c r="Z6" s="2"/>
      <c r="AA6" s="2"/>
      <c r="AB6" s="2"/>
      <c r="AC6" s="2"/>
      <c r="AD6" s="2"/>
      <c r="AE6" s="2"/>
      <c r="AF6" s="2"/>
      <c r="AG6" s="6"/>
    </row>
    <row r="7" spans="1:33">
      <c r="A7" s="167" t="s">
        <v>187</v>
      </c>
      <c r="B7" s="169"/>
      <c r="C7" s="169"/>
      <c r="D7" s="2"/>
      <c r="E7" s="2"/>
      <c r="F7" s="2"/>
      <c r="G7" s="2"/>
      <c r="H7" s="197"/>
      <c r="I7" s="2"/>
      <c r="J7" s="2"/>
      <c r="K7" s="2"/>
      <c r="L7" s="2"/>
      <c r="M7" s="2"/>
      <c r="N7" s="2"/>
      <c r="O7" s="2"/>
      <c r="P7" s="2"/>
      <c r="Q7" s="2"/>
      <c r="R7" s="2"/>
      <c r="S7" s="2"/>
      <c r="T7" s="2"/>
      <c r="U7" s="2"/>
      <c r="V7" s="2"/>
      <c r="W7" s="2"/>
      <c r="X7" s="2"/>
      <c r="Y7" s="2"/>
      <c r="Z7" s="2"/>
      <c r="AA7" s="2"/>
      <c r="AB7" s="2"/>
      <c r="AC7" s="2"/>
      <c r="AD7" s="2"/>
      <c r="AE7" s="2"/>
      <c r="AF7" s="2"/>
      <c r="AG7" s="6"/>
    </row>
    <row r="8" spans="1:33">
      <c r="A8" s="2" t="s">
        <v>783</v>
      </c>
      <c r="B8" s="98">
        <f>17620655578+528773609029</f>
        <v>546394264607</v>
      </c>
      <c r="C8" s="98">
        <v>519393306670</v>
      </c>
      <c r="D8" s="2"/>
      <c r="E8" s="2"/>
      <c r="F8" s="2"/>
      <c r="G8" s="197"/>
      <c r="H8" s="197"/>
      <c r="I8" s="2"/>
      <c r="J8" s="2"/>
      <c r="K8" s="2"/>
      <c r="L8" s="2"/>
      <c r="M8" s="2"/>
      <c r="N8" s="2"/>
      <c r="O8" s="2"/>
      <c r="P8" s="2"/>
      <c r="Q8" s="2"/>
      <c r="R8" s="2"/>
      <c r="S8" s="2"/>
      <c r="T8" s="2"/>
      <c r="U8" s="2"/>
      <c r="V8" s="2"/>
      <c r="W8" s="2"/>
      <c r="X8" s="2"/>
      <c r="Y8" s="2"/>
      <c r="Z8" s="2"/>
      <c r="AA8" s="2"/>
      <c r="AB8" s="2"/>
      <c r="AC8" s="2"/>
      <c r="AD8" s="2"/>
      <c r="AE8" s="2"/>
      <c r="AF8" s="2"/>
      <c r="AG8" s="6"/>
    </row>
    <row r="9" spans="1:33">
      <c r="A9" s="2" t="s">
        <v>784</v>
      </c>
      <c r="B9" s="98">
        <v>5209758638</v>
      </c>
      <c r="C9" s="98">
        <v>3919491683</v>
      </c>
      <c r="D9" s="2"/>
      <c r="E9" s="2"/>
      <c r="F9" s="2"/>
      <c r="G9" s="2"/>
      <c r="H9" s="197"/>
      <c r="I9" s="2"/>
      <c r="J9" s="2"/>
      <c r="K9" s="2"/>
      <c r="L9" s="2"/>
      <c r="M9" s="2"/>
      <c r="N9" s="2"/>
      <c r="O9" s="2"/>
      <c r="P9" s="2"/>
      <c r="Q9" s="2"/>
      <c r="R9" s="2"/>
      <c r="S9" s="2"/>
      <c r="T9" s="2"/>
      <c r="U9" s="2"/>
      <c r="V9" s="2"/>
      <c r="W9" s="2"/>
      <c r="X9" s="2"/>
      <c r="Y9" s="2"/>
      <c r="Z9" s="2"/>
      <c r="AA9" s="2"/>
      <c r="AB9" s="2"/>
      <c r="AC9" s="2"/>
      <c r="AD9" s="2"/>
      <c r="AE9" s="2"/>
      <c r="AF9" s="2"/>
      <c r="AG9" s="6"/>
    </row>
    <row r="10" spans="1:33">
      <c r="A10" s="2" t="s">
        <v>785</v>
      </c>
      <c r="B10" s="465">
        <v>4334511348</v>
      </c>
      <c r="C10" s="465">
        <v>4113720050</v>
      </c>
      <c r="D10" s="2"/>
      <c r="E10" s="2"/>
      <c r="F10" s="2"/>
      <c r="G10" s="2"/>
      <c r="H10" s="197"/>
      <c r="I10" s="2"/>
      <c r="J10" s="2"/>
      <c r="K10" s="2"/>
      <c r="L10" s="2"/>
      <c r="M10" s="2"/>
      <c r="N10" s="2"/>
      <c r="O10" s="2"/>
      <c r="P10" s="2"/>
      <c r="Q10" s="2"/>
      <c r="R10" s="2"/>
      <c r="S10" s="2"/>
      <c r="T10" s="2"/>
      <c r="U10" s="2"/>
      <c r="V10" s="2"/>
      <c r="W10" s="2"/>
      <c r="X10" s="2"/>
      <c r="Y10" s="2"/>
      <c r="Z10" s="2"/>
      <c r="AA10" s="2"/>
      <c r="AB10" s="2"/>
      <c r="AC10" s="2"/>
      <c r="AD10" s="2"/>
      <c r="AE10" s="2"/>
      <c r="AF10" s="2"/>
      <c r="AG10" s="6"/>
    </row>
    <row r="11" spans="1:33" ht="12.75" thickBot="1">
      <c r="A11" s="86" t="s">
        <v>786</v>
      </c>
      <c r="B11" s="912">
        <f>SUM(B8:B10)</f>
        <v>555938534593</v>
      </c>
      <c r="C11" s="912">
        <f>SUM(C8:C10)</f>
        <v>527426518403</v>
      </c>
      <c r="D11" s="2"/>
      <c r="E11" s="2"/>
      <c r="F11" s="2"/>
      <c r="G11" s="197"/>
      <c r="H11" s="197"/>
      <c r="I11" s="2"/>
      <c r="J11" s="2"/>
      <c r="K11" s="2"/>
      <c r="L11" s="2"/>
      <c r="M11" s="2"/>
      <c r="N11" s="2"/>
      <c r="O11" s="2"/>
      <c r="P11" s="2"/>
      <c r="Q11" s="2"/>
      <c r="R11" s="2"/>
      <c r="S11" s="2"/>
      <c r="T11" s="2"/>
      <c r="U11" s="2"/>
      <c r="V11" s="2"/>
      <c r="W11" s="2"/>
      <c r="X11" s="2"/>
      <c r="Y11" s="2"/>
      <c r="Z11" s="2"/>
      <c r="AA11" s="2"/>
      <c r="AB11" s="2"/>
      <c r="AC11" s="2"/>
      <c r="AD11" s="2"/>
      <c r="AE11" s="2"/>
      <c r="AF11" s="2"/>
      <c r="AG11" s="6"/>
    </row>
    <row r="12" spans="1:33" ht="12.75" thickTop="1">
      <c r="A12" s="86"/>
      <c r="B12" s="165"/>
      <c r="C12" s="165"/>
      <c r="D12" s="2"/>
      <c r="E12" s="2"/>
      <c r="F12" s="2"/>
      <c r="G12" s="2"/>
      <c r="H12" s="197"/>
      <c r="I12" s="2"/>
      <c r="J12" s="2"/>
      <c r="K12" s="2"/>
      <c r="L12" s="2"/>
      <c r="M12" s="2"/>
      <c r="N12" s="2"/>
      <c r="O12" s="2"/>
      <c r="P12" s="2"/>
      <c r="Q12" s="2"/>
      <c r="R12" s="2"/>
      <c r="S12" s="2"/>
      <c r="T12" s="2"/>
      <c r="U12" s="2"/>
      <c r="V12" s="2"/>
      <c r="W12" s="2"/>
      <c r="X12" s="2"/>
      <c r="Y12" s="2"/>
      <c r="Z12" s="2"/>
      <c r="AA12" s="2"/>
      <c r="AB12" s="2"/>
      <c r="AC12" s="2"/>
      <c r="AD12" s="2"/>
      <c r="AE12" s="2"/>
      <c r="AF12" s="2"/>
      <c r="AG12" s="6"/>
    </row>
    <row r="13" spans="1:33">
      <c r="A13" s="2"/>
      <c r="B13" s="98"/>
      <c r="C13" s="98"/>
      <c r="D13" s="2"/>
      <c r="E13" s="2"/>
      <c r="F13" s="2"/>
      <c r="G13" s="2"/>
      <c r="H13" s="197"/>
      <c r="I13" s="2"/>
      <c r="J13" s="2"/>
      <c r="K13" s="2"/>
      <c r="L13" s="2"/>
      <c r="M13" s="2"/>
      <c r="N13" s="2"/>
      <c r="O13" s="2"/>
      <c r="P13" s="2"/>
      <c r="Q13" s="2"/>
      <c r="R13" s="2"/>
      <c r="S13" s="2"/>
      <c r="T13" s="2"/>
      <c r="U13" s="2"/>
      <c r="V13" s="2"/>
      <c r="W13" s="2"/>
      <c r="X13" s="2"/>
      <c r="Y13" s="2"/>
      <c r="Z13" s="2"/>
      <c r="AA13" s="2"/>
      <c r="AB13" s="2"/>
      <c r="AC13" s="2"/>
      <c r="AD13" s="2"/>
      <c r="AE13" s="2"/>
      <c r="AF13" s="2"/>
      <c r="AG13" s="6"/>
    </row>
    <row r="14" spans="1:33">
      <c r="A14" s="166" t="s">
        <v>188</v>
      </c>
      <c r="B14" s="98"/>
      <c r="C14" s="98"/>
      <c r="D14" s="2"/>
      <c r="E14" s="2"/>
      <c r="F14" s="2"/>
      <c r="G14" s="2"/>
      <c r="H14" s="197"/>
      <c r="I14" s="2"/>
      <c r="J14" s="2"/>
      <c r="K14" s="2"/>
      <c r="L14" s="2"/>
      <c r="M14" s="2"/>
      <c r="N14" s="2"/>
      <c r="O14" s="2"/>
      <c r="P14" s="2"/>
      <c r="Q14" s="2"/>
      <c r="R14" s="2"/>
      <c r="S14" s="2"/>
      <c r="T14" s="2"/>
      <c r="U14" s="2"/>
      <c r="V14" s="2"/>
      <c r="W14" s="2"/>
      <c r="X14" s="2"/>
      <c r="Y14" s="2"/>
      <c r="Z14" s="2"/>
      <c r="AA14" s="2"/>
      <c r="AB14" s="2"/>
      <c r="AC14" s="2"/>
      <c r="AD14" s="2"/>
      <c r="AE14" s="2"/>
      <c r="AF14" s="2"/>
      <c r="AG14" s="6"/>
    </row>
    <row r="15" spans="1:33">
      <c r="A15" s="2" t="s">
        <v>787</v>
      </c>
      <c r="B15" s="98">
        <v>10807846019</v>
      </c>
      <c r="C15" s="98">
        <v>9232114560</v>
      </c>
      <c r="D15" s="2"/>
      <c r="E15" s="2"/>
      <c r="F15" s="2"/>
      <c r="G15" s="2"/>
      <c r="H15" s="197"/>
      <c r="I15" s="2"/>
      <c r="J15" s="2"/>
      <c r="K15" s="2"/>
      <c r="L15" s="2"/>
      <c r="M15" s="2"/>
      <c r="N15" s="2"/>
      <c r="O15" s="2"/>
      <c r="P15" s="2"/>
      <c r="Q15" s="2"/>
      <c r="R15" s="2"/>
      <c r="S15" s="2"/>
      <c r="T15" s="2"/>
      <c r="U15" s="2"/>
      <c r="V15" s="2"/>
      <c r="W15" s="2"/>
      <c r="X15" s="2"/>
      <c r="Y15" s="2"/>
      <c r="Z15" s="2"/>
      <c r="AA15" s="2"/>
      <c r="AB15" s="2"/>
      <c r="AC15" s="2"/>
      <c r="AD15" s="2"/>
      <c r="AE15" s="2"/>
      <c r="AF15" s="2"/>
      <c r="AG15" s="6"/>
    </row>
    <row r="16" spans="1:33">
      <c r="A16" s="2" t="s">
        <v>788</v>
      </c>
      <c r="B16" s="98">
        <v>0</v>
      </c>
      <c r="C16" s="98">
        <v>7976947616</v>
      </c>
      <c r="D16" s="2"/>
      <c r="E16" s="2"/>
      <c r="F16" s="2"/>
      <c r="G16" s="2"/>
      <c r="H16" s="197"/>
      <c r="I16" s="2"/>
      <c r="J16" s="2"/>
      <c r="K16" s="2"/>
      <c r="L16" s="2"/>
      <c r="M16" s="2"/>
      <c r="N16" s="2"/>
      <c r="O16" s="2"/>
      <c r="P16" s="2"/>
      <c r="Q16" s="2"/>
      <c r="R16" s="2"/>
      <c r="S16" s="2"/>
      <c r="T16" s="2"/>
      <c r="U16" s="2"/>
      <c r="V16" s="2"/>
      <c r="W16" s="2"/>
      <c r="X16" s="2"/>
      <c r="Y16" s="2"/>
      <c r="Z16" s="2"/>
      <c r="AA16" s="2"/>
      <c r="AB16" s="2"/>
      <c r="AC16" s="2"/>
      <c r="AD16" s="2"/>
      <c r="AE16" s="2"/>
      <c r="AF16" s="2"/>
      <c r="AG16" s="6"/>
    </row>
    <row r="17" spans="1:33" hidden="1">
      <c r="A17" s="2" t="s">
        <v>789</v>
      </c>
      <c r="B17" s="98">
        <v>0</v>
      </c>
      <c r="C17" s="98">
        <v>0</v>
      </c>
      <c r="D17" s="2"/>
      <c r="E17" s="2"/>
      <c r="F17" s="2"/>
      <c r="G17" s="2"/>
      <c r="H17" s="197"/>
      <c r="I17" s="2"/>
      <c r="J17" s="2"/>
      <c r="K17" s="2"/>
      <c r="L17" s="2"/>
      <c r="M17" s="2"/>
      <c r="N17" s="2"/>
      <c r="O17" s="2"/>
      <c r="P17" s="2"/>
      <c r="Q17" s="2"/>
      <c r="R17" s="2"/>
      <c r="S17" s="2"/>
      <c r="T17" s="2"/>
      <c r="U17" s="2"/>
      <c r="V17" s="2"/>
      <c r="W17" s="2"/>
      <c r="X17" s="2"/>
      <c r="Y17" s="2"/>
      <c r="Z17" s="2"/>
      <c r="AA17" s="2"/>
      <c r="AB17" s="2"/>
      <c r="AC17" s="2"/>
      <c r="AD17" s="2"/>
      <c r="AE17" s="2"/>
      <c r="AF17" s="2"/>
      <c r="AG17" s="6"/>
    </row>
    <row r="18" spans="1:33" ht="12.75" thickBot="1">
      <c r="A18" s="99" t="s">
        <v>790</v>
      </c>
      <c r="B18" s="913">
        <f>SUM(B15:B17)</f>
        <v>10807846019</v>
      </c>
      <c r="C18" s="913">
        <f>SUM(C15:C17)</f>
        <v>17209062176</v>
      </c>
      <c r="D18" s="2"/>
      <c r="E18" s="2"/>
      <c r="F18" s="2"/>
      <c r="G18" s="2"/>
      <c r="H18" s="197"/>
      <c r="I18" s="2"/>
      <c r="J18" s="2"/>
      <c r="K18" s="2"/>
      <c r="L18" s="2"/>
      <c r="M18" s="2"/>
      <c r="N18" s="2"/>
      <c r="O18" s="2"/>
      <c r="P18" s="2"/>
      <c r="Q18" s="2"/>
      <c r="R18" s="2"/>
      <c r="S18" s="2"/>
      <c r="T18" s="2"/>
      <c r="U18" s="2"/>
      <c r="V18" s="2"/>
      <c r="W18" s="2"/>
      <c r="X18" s="2"/>
      <c r="Y18" s="2"/>
      <c r="Z18" s="2"/>
      <c r="AA18" s="2"/>
      <c r="AB18" s="2"/>
      <c r="AC18" s="2"/>
      <c r="AD18" s="2"/>
      <c r="AE18" s="2"/>
      <c r="AF18" s="2"/>
      <c r="AG18" s="6"/>
    </row>
    <row r="19" spans="1:33" ht="12.75" thickTop="1">
      <c r="A19" s="2"/>
      <c r="B19" s="2"/>
      <c r="C19" s="2"/>
      <c r="D19" s="2"/>
      <c r="E19" s="2"/>
      <c r="F19" s="2"/>
      <c r="G19" s="2"/>
      <c r="H19" s="197"/>
      <c r="I19" s="2"/>
      <c r="J19" s="2"/>
      <c r="K19" s="2"/>
      <c r="L19" s="2"/>
      <c r="M19" s="2"/>
      <c r="N19" s="2"/>
      <c r="O19" s="2"/>
      <c r="P19" s="2"/>
      <c r="Q19" s="2"/>
      <c r="R19" s="2"/>
      <c r="S19" s="2"/>
      <c r="T19" s="2"/>
      <c r="U19" s="2"/>
      <c r="V19" s="2"/>
      <c r="W19" s="2"/>
      <c r="X19" s="2"/>
      <c r="Y19" s="2"/>
      <c r="Z19" s="2"/>
      <c r="AA19" s="2"/>
      <c r="AB19" s="2"/>
      <c r="AC19" s="2"/>
      <c r="AD19" s="2"/>
      <c r="AE19" s="2"/>
      <c r="AF19" s="2"/>
      <c r="AG19" s="6"/>
    </row>
    <row r="26" spans="1:33">
      <c r="C26" s="95"/>
    </row>
  </sheetData>
  <mergeCells count="2">
    <mergeCell ref="B5:C5"/>
    <mergeCell ref="A4:B4"/>
  </mergeCells>
  <hyperlinks>
    <hyperlink ref="C1" location="ER!A1" display="ER" xr:uid="{FA9D8EB9-19E9-44ED-AAC4-7344F6BD2DF9}"/>
  </hyperlinks>
  <pageMargins left="1.9685039370078741" right="1.7716535433070868" top="1.9685039370078741" bottom="0.74803149606299213" header="0.31496062992125984" footer="0.31496062992125984"/>
  <pageSetup scale="75"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AE52"/>
  <sheetViews>
    <sheetView showGridLines="0" workbookViewId="0">
      <selection activeCell="A14" sqref="A14:XFD14"/>
    </sheetView>
  </sheetViews>
  <sheetFormatPr baseColWidth="10" defaultColWidth="11.42578125" defaultRowHeight="12"/>
  <cols>
    <col min="1" max="1" width="40.5703125" style="94" customWidth="1"/>
    <col min="2" max="2" width="18.140625" style="100" customWidth="1"/>
    <col min="3" max="3" width="17.140625" style="100" customWidth="1"/>
    <col min="4" max="4" width="0.28515625" style="94" customWidth="1"/>
    <col min="5" max="6" width="11.42578125" style="94" hidden="1" customWidth="1"/>
    <col min="7" max="7" width="16.28515625" style="94" customWidth="1"/>
    <col min="8" max="8" width="15.28515625" style="94" customWidth="1"/>
    <col min="9" max="9" width="17.42578125" style="94" customWidth="1"/>
    <col min="10" max="31" width="11.42578125" style="94"/>
    <col min="32" max="16384" width="11.42578125" style="6"/>
  </cols>
  <sheetData>
    <row r="1" spans="1:31" ht="15.75" customHeight="1">
      <c r="A1" s="217" t="str">
        <f>Indice!C1</f>
        <v>NICOLAS GONZALEZ ODDONE S.A.E.C.A</v>
      </c>
      <c r="B1" s="632" t="s">
        <v>69</v>
      </c>
      <c r="C1" s="227"/>
      <c r="E1" s="97"/>
    </row>
    <row r="3" spans="1:31" ht="17.25" customHeight="1">
      <c r="A3" s="225" t="s">
        <v>791</v>
      </c>
      <c r="B3" s="225"/>
      <c r="C3" s="225"/>
      <c r="D3" s="225"/>
      <c r="E3" s="194"/>
      <c r="F3" s="194"/>
      <c r="G3" s="2"/>
      <c r="H3" s="2"/>
      <c r="I3" s="2"/>
      <c r="J3" s="2"/>
      <c r="K3" s="2"/>
      <c r="L3" s="2"/>
      <c r="M3" s="2"/>
      <c r="N3" s="2"/>
      <c r="O3" s="2"/>
      <c r="P3" s="2"/>
      <c r="Q3" s="2"/>
      <c r="R3" s="2"/>
      <c r="S3" s="2"/>
      <c r="T3" s="2"/>
      <c r="U3" s="2"/>
      <c r="V3" s="2"/>
      <c r="W3" s="2"/>
      <c r="X3" s="2"/>
      <c r="Y3" s="2"/>
      <c r="Z3" s="2"/>
      <c r="AA3" s="2"/>
      <c r="AB3" s="2"/>
      <c r="AC3" s="2"/>
      <c r="AD3" s="2"/>
      <c r="AE3" s="2"/>
    </row>
    <row r="4" spans="1:31">
      <c r="A4" s="196" t="s">
        <v>792</v>
      </c>
      <c r="B4" s="196"/>
    </row>
    <row r="5" spans="1:31">
      <c r="B5" s="195"/>
      <c r="C5" s="195"/>
    </row>
    <row r="6" spans="1:31" ht="13.5" customHeight="1">
      <c r="A6" s="394" t="s">
        <v>72</v>
      </c>
      <c r="B6" s="585">
        <v>44834</v>
      </c>
      <c r="C6" s="585">
        <v>44469</v>
      </c>
      <c r="D6" s="2"/>
      <c r="E6" s="2"/>
      <c r="F6" s="2"/>
      <c r="G6" s="2"/>
      <c r="H6" s="2"/>
      <c r="I6" s="3"/>
      <c r="J6" s="2"/>
      <c r="K6" s="2"/>
      <c r="L6" s="2"/>
      <c r="M6" s="2"/>
      <c r="N6" s="2"/>
      <c r="O6" s="2"/>
      <c r="P6" s="2"/>
      <c r="Q6" s="2"/>
      <c r="R6" s="2"/>
      <c r="S6" s="2"/>
      <c r="T6" s="2"/>
      <c r="U6" s="2"/>
      <c r="V6" s="2"/>
      <c r="W6" s="2"/>
      <c r="X6" s="2"/>
      <c r="Y6" s="2"/>
      <c r="Z6" s="2"/>
      <c r="AA6" s="2"/>
      <c r="AB6" s="2"/>
      <c r="AC6" s="2"/>
      <c r="AD6" s="2"/>
      <c r="AE6" s="2"/>
    </row>
    <row r="7" spans="1:31" ht="15">
      <c r="A7" s="99" t="s">
        <v>793</v>
      </c>
      <c r="B7" s="395"/>
      <c r="C7" s="395"/>
      <c r="D7" s="2"/>
      <c r="E7" s="2"/>
      <c r="F7" s="2"/>
      <c r="G7" s="2"/>
      <c r="H7" s="2"/>
      <c r="I7" s="206"/>
      <c r="J7" s="2"/>
      <c r="K7" s="2"/>
      <c r="L7" s="2"/>
      <c r="M7" s="2"/>
      <c r="N7" s="2"/>
      <c r="O7" s="2"/>
      <c r="P7" s="2"/>
      <c r="Q7" s="2"/>
      <c r="R7" s="2"/>
      <c r="S7" s="2"/>
      <c r="T7" s="2"/>
      <c r="U7" s="2"/>
      <c r="V7" s="2"/>
      <c r="W7" s="2"/>
      <c r="X7" s="2"/>
      <c r="Y7" s="2"/>
      <c r="Z7" s="2"/>
      <c r="AA7" s="2"/>
      <c r="AB7" s="2"/>
      <c r="AC7" s="2"/>
      <c r="AD7" s="2"/>
      <c r="AE7" s="2"/>
    </row>
    <row r="8" spans="1:31" ht="15">
      <c r="A8" s="2" t="s">
        <v>794</v>
      </c>
      <c r="B8" s="98">
        <v>555630229446</v>
      </c>
      <c r="C8" s="98">
        <v>168535470731</v>
      </c>
      <c r="D8" s="2"/>
      <c r="E8" s="2"/>
      <c r="F8" s="2"/>
      <c r="G8" s="98"/>
      <c r="H8" s="98"/>
      <c r="I8" s="206"/>
      <c r="J8" s="2"/>
      <c r="K8" s="2"/>
      <c r="L8" s="2"/>
      <c r="M8" s="2"/>
      <c r="N8" s="2"/>
      <c r="O8" s="2"/>
      <c r="P8" s="2"/>
      <c r="Q8" s="2"/>
      <c r="R8" s="2"/>
      <c r="S8" s="2"/>
      <c r="T8" s="2"/>
      <c r="U8" s="2"/>
      <c r="V8" s="2"/>
      <c r="W8" s="2"/>
      <c r="X8" s="2"/>
      <c r="Y8" s="2"/>
      <c r="Z8" s="2"/>
      <c r="AA8" s="2"/>
      <c r="AB8" s="2"/>
      <c r="AC8" s="2"/>
      <c r="AD8" s="2"/>
      <c r="AE8" s="2"/>
    </row>
    <row r="9" spans="1:31" ht="15">
      <c r="A9" s="168" t="s">
        <v>795</v>
      </c>
      <c r="B9" s="98">
        <v>355374876777</v>
      </c>
      <c r="C9" s="98">
        <v>668407643144</v>
      </c>
      <c r="D9" s="2"/>
      <c r="E9" s="2"/>
      <c r="F9" s="2"/>
      <c r="G9" s="98"/>
      <c r="H9" s="98"/>
      <c r="I9" s="206"/>
      <c r="J9" s="2"/>
      <c r="K9" s="2"/>
      <c r="L9" s="2"/>
      <c r="M9" s="2"/>
      <c r="N9" s="2"/>
      <c r="O9" s="2"/>
      <c r="P9" s="2"/>
      <c r="Q9" s="2"/>
      <c r="R9" s="2"/>
      <c r="S9" s="2"/>
      <c r="T9" s="2"/>
      <c r="U9" s="2"/>
      <c r="V9" s="2"/>
      <c r="W9" s="2"/>
      <c r="X9" s="2"/>
      <c r="Y9" s="2"/>
      <c r="Z9" s="2"/>
      <c r="AA9" s="2"/>
      <c r="AB9" s="2"/>
      <c r="AC9" s="2"/>
      <c r="AD9" s="2"/>
      <c r="AE9" s="2"/>
    </row>
    <row r="10" spans="1:31" ht="15" hidden="1">
      <c r="A10" s="168" t="s">
        <v>796</v>
      </c>
      <c r="B10" s="6">
        <v>0</v>
      </c>
      <c r="C10" s="6">
        <v>0</v>
      </c>
      <c r="D10" s="2"/>
      <c r="E10" s="2"/>
      <c r="F10" s="2"/>
      <c r="G10" s="98"/>
      <c r="H10" s="98"/>
      <c r="I10" s="186"/>
      <c r="J10" s="2"/>
      <c r="K10" s="2"/>
      <c r="L10" s="2"/>
      <c r="M10" s="2"/>
      <c r="N10" s="2"/>
      <c r="O10" s="2"/>
      <c r="P10" s="2"/>
      <c r="Q10" s="2"/>
      <c r="R10" s="2"/>
      <c r="S10" s="2"/>
      <c r="T10" s="2"/>
      <c r="U10" s="2"/>
      <c r="V10" s="2"/>
      <c r="W10" s="2"/>
      <c r="X10" s="2"/>
      <c r="Y10" s="2"/>
      <c r="Z10" s="2"/>
      <c r="AA10" s="2"/>
      <c r="AB10" s="2"/>
      <c r="AC10" s="2"/>
      <c r="AD10" s="2"/>
      <c r="AE10" s="2"/>
    </row>
    <row r="11" spans="1:31" ht="15">
      <c r="A11" s="168" t="s">
        <v>797</v>
      </c>
      <c r="B11" s="98">
        <v>-503923048711</v>
      </c>
      <c r="C11" s="98">
        <v>-454245525970</v>
      </c>
      <c r="D11" s="2"/>
      <c r="E11" s="2"/>
      <c r="F11" s="2"/>
      <c r="G11" s="98"/>
      <c r="H11" s="98"/>
      <c r="I11" s="3"/>
      <c r="J11" s="2"/>
      <c r="K11" s="2"/>
      <c r="L11" s="2"/>
      <c r="M11" s="2"/>
      <c r="N11" s="2"/>
      <c r="O11" s="2"/>
      <c r="P11" s="2"/>
      <c r="Q11" s="2"/>
      <c r="R11" s="2"/>
      <c r="S11" s="2"/>
      <c r="T11" s="2"/>
      <c r="U11" s="2"/>
      <c r="V11" s="2"/>
      <c r="W11" s="2"/>
      <c r="X11" s="2"/>
      <c r="Y11" s="2"/>
      <c r="Z11" s="2"/>
      <c r="AA11" s="2"/>
      <c r="AB11" s="2"/>
      <c r="AC11" s="2"/>
      <c r="AD11" s="2"/>
      <c r="AE11" s="2"/>
    </row>
    <row r="12" spans="1:31" ht="15">
      <c r="A12" s="99" t="s">
        <v>798</v>
      </c>
      <c r="B12" s="409"/>
      <c r="C12" s="409"/>
      <c r="D12" s="2"/>
      <c r="E12" s="2"/>
      <c r="F12" s="2"/>
      <c r="G12" s="98"/>
      <c r="H12" s="98"/>
      <c r="I12" s="3"/>
      <c r="J12" s="2"/>
      <c r="K12" s="2"/>
      <c r="L12" s="2"/>
      <c r="M12" s="2"/>
      <c r="N12" s="2"/>
      <c r="O12" s="2"/>
      <c r="P12" s="2"/>
      <c r="Q12" s="2"/>
      <c r="R12" s="2"/>
      <c r="S12" s="2"/>
      <c r="T12" s="2"/>
      <c r="U12" s="2"/>
      <c r="V12" s="2"/>
      <c r="W12" s="2"/>
      <c r="X12" s="2"/>
      <c r="Y12" s="2"/>
      <c r="Z12" s="2"/>
      <c r="AA12" s="2"/>
      <c r="AB12" s="2"/>
      <c r="AC12" s="2"/>
      <c r="AD12" s="2"/>
      <c r="AE12" s="2"/>
    </row>
    <row r="13" spans="1:31" ht="15">
      <c r="A13" s="2" t="s">
        <v>794</v>
      </c>
      <c r="B13" s="98">
        <v>22243376935</v>
      </c>
      <c r="C13" s="98">
        <v>16143163260</v>
      </c>
      <c r="D13" s="2"/>
      <c r="E13" s="2"/>
      <c r="F13" s="2"/>
      <c r="G13" s="98"/>
      <c r="H13" s="98"/>
      <c r="I13" s="206"/>
      <c r="J13" s="2"/>
      <c r="K13" s="2"/>
      <c r="L13" s="2"/>
      <c r="M13" s="2"/>
      <c r="N13" s="2"/>
      <c r="O13" s="2"/>
      <c r="P13" s="2"/>
      <c r="Q13" s="2"/>
      <c r="R13" s="2"/>
      <c r="S13" s="2"/>
      <c r="T13" s="2"/>
      <c r="U13" s="2"/>
      <c r="V13" s="2"/>
      <c r="W13" s="2"/>
      <c r="X13" s="2"/>
      <c r="Y13" s="2"/>
      <c r="Z13" s="2"/>
      <c r="AA13" s="2"/>
      <c r="AB13" s="2"/>
      <c r="AC13" s="2"/>
      <c r="AD13" s="2"/>
      <c r="AE13" s="2"/>
    </row>
    <row r="14" spans="1:31" ht="15" hidden="1">
      <c r="A14" s="762" t="s">
        <v>795</v>
      </c>
      <c r="B14" s="98">
        <v>0</v>
      </c>
      <c r="C14" s="98">
        <v>0</v>
      </c>
      <c r="D14" s="6"/>
      <c r="E14" s="6"/>
      <c r="F14" s="6"/>
      <c r="G14" s="98"/>
      <c r="H14" s="98"/>
      <c r="I14" s="763"/>
      <c r="J14" s="6"/>
      <c r="K14" s="6"/>
      <c r="L14" s="6"/>
      <c r="M14" s="6"/>
      <c r="N14" s="6"/>
      <c r="O14" s="6"/>
      <c r="P14" s="6"/>
      <c r="Q14" s="6"/>
      <c r="R14" s="6"/>
      <c r="S14" s="6"/>
      <c r="T14" s="6"/>
      <c r="U14" s="6"/>
      <c r="V14" s="6"/>
      <c r="W14" s="6"/>
      <c r="X14" s="6"/>
      <c r="Y14" s="6"/>
      <c r="Z14" s="6"/>
      <c r="AA14" s="6"/>
      <c r="AB14" s="6"/>
      <c r="AC14" s="6"/>
      <c r="AD14" s="6"/>
      <c r="AE14" s="6"/>
    </row>
    <row r="15" spans="1:31" ht="15" hidden="1">
      <c r="A15" s="168" t="s">
        <v>796</v>
      </c>
      <c r="B15" s="6">
        <v>0</v>
      </c>
      <c r="C15" s="6"/>
      <c r="D15" s="2"/>
      <c r="E15" s="2"/>
      <c r="F15" s="2"/>
      <c r="G15" s="2"/>
      <c r="H15" s="197"/>
      <c r="I15" s="3"/>
      <c r="J15" s="2"/>
      <c r="K15" s="2"/>
      <c r="L15" s="2"/>
      <c r="M15" s="2"/>
      <c r="N15" s="2"/>
      <c r="O15" s="2"/>
      <c r="P15" s="2"/>
      <c r="Q15" s="2"/>
      <c r="R15" s="2"/>
      <c r="S15" s="2"/>
      <c r="T15" s="2"/>
      <c r="U15" s="2"/>
      <c r="V15" s="2"/>
      <c r="W15" s="2"/>
      <c r="X15" s="2"/>
      <c r="Y15" s="2"/>
      <c r="Z15" s="2"/>
      <c r="AA15" s="2"/>
      <c r="AB15" s="2"/>
      <c r="AC15" s="2"/>
      <c r="AD15" s="2"/>
      <c r="AE15" s="2"/>
    </row>
    <row r="16" spans="1:31">
      <c r="A16" s="168" t="s">
        <v>797</v>
      </c>
      <c r="B16" s="98">
        <v>-16215530805</v>
      </c>
      <c r="C16" s="98">
        <v>-22503027540</v>
      </c>
      <c r="D16" s="2"/>
      <c r="E16" s="2"/>
      <c r="F16" s="2"/>
      <c r="G16" s="2"/>
      <c r="H16" s="197"/>
      <c r="J16" s="2"/>
      <c r="K16" s="2"/>
      <c r="L16" s="2"/>
      <c r="M16" s="2"/>
      <c r="N16" s="2"/>
      <c r="O16" s="2"/>
      <c r="P16" s="2"/>
      <c r="Q16" s="2"/>
      <c r="R16" s="2"/>
      <c r="S16" s="2"/>
      <c r="T16" s="2"/>
      <c r="U16" s="2"/>
      <c r="V16" s="2"/>
      <c r="W16" s="2"/>
      <c r="X16" s="2"/>
      <c r="Y16" s="2"/>
      <c r="Z16" s="2"/>
      <c r="AA16" s="2"/>
      <c r="AB16" s="2"/>
      <c r="AC16" s="2"/>
      <c r="AD16" s="2"/>
      <c r="AE16" s="2"/>
    </row>
    <row r="17" spans="1:31">
      <c r="A17" s="308" t="s">
        <v>799</v>
      </c>
      <c r="B17" s="98">
        <v>4779999889</v>
      </c>
      <c r="C17" s="465">
        <v>23568926456</v>
      </c>
      <c r="D17" s="2"/>
      <c r="E17" s="2"/>
      <c r="F17" s="2"/>
      <c r="G17" s="2"/>
      <c r="H17" s="197"/>
      <c r="J17" s="2"/>
      <c r="K17" s="2"/>
      <c r="L17" s="2"/>
      <c r="M17" s="2"/>
      <c r="N17" s="2"/>
      <c r="O17" s="2"/>
      <c r="P17" s="2"/>
      <c r="Q17" s="2"/>
      <c r="R17" s="2"/>
      <c r="S17" s="2"/>
      <c r="T17" s="2"/>
      <c r="U17" s="2"/>
      <c r="V17" s="2"/>
      <c r="W17" s="2"/>
      <c r="X17" s="2"/>
      <c r="Y17" s="2"/>
      <c r="Z17" s="2"/>
      <c r="AA17" s="2"/>
      <c r="AB17" s="2"/>
      <c r="AC17" s="2"/>
      <c r="AD17" s="2"/>
      <c r="AE17" s="2"/>
    </row>
    <row r="18" spans="1:31" ht="12.75" thickBot="1">
      <c r="A18" s="99" t="s">
        <v>800</v>
      </c>
      <c r="B18" s="914">
        <f>SUM(B8:B17)</f>
        <v>417889903531</v>
      </c>
      <c r="C18" s="915">
        <f>SUM(C8:C17)</f>
        <v>399906650081</v>
      </c>
      <c r="D18" s="2"/>
      <c r="E18" s="2"/>
      <c r="F18" s="2"/>
      <c r="G18" s="2"/>
      <c r="H18" s="197"/>
      <c r="I18" s="2"/>
      <c r="J18" s="2"/>
      <c r="K18" s="2"/>
      <c r="L18" s="2"/>
      <c r="M18" s="2"/>
      <c r="N18" s="2"/>
      <c r="O18" s="2"/>
      <c r="P18" s="2"/>
      <c r="Q18" s="2"/>
      <c r="R18" s="2"/>
      <c r="S18" s="2"/>
      <c r="T18" s="2"/>
      <c r="U18" s="2"/>
      <c r="V18" s="2"/>
      <c r="W18" s="2"/>
      <c r="X18" s="2"/>
      <c r="Y18" s="2"/>
      <c r="Z18" s="2"/>
      <c r="AA18" s="2"/>
      <c r="AB18" s="2"/>
      <c r="AC18" s="2"/>
      <c r="AD18" s="2"/>
      <c r="AE18" s="2"/>
    </row>
    <row r="19" spans="1:31" ht="12.75" thickTop="1">
      <c r="B19" s="545"/>
      <c r="G19" s="95"/>
      <c r="H19" s="95"/>
    </row>
    <row r="20" spans="1:31">
      <c r="B20" s="545"/>
      <c r="C20" s="545"/>
      <c r="G20" s="95"/>
    </row>
    <row r="21" spans="1:31">
      <c r="A21" s="6"/>
      <c r="B21" s="596"/>
      <c r="C21" s="64"/>
      <c r="D21" s="6"/>
      <c r="E21" s="6"/>
      <c r="F21" s="6"/>
      <c r="G21" s="6"/>
      <c r="H21" s="6"/>
      <c r="I21" s="6"/>
      <c r="J21" s="6"/>
      <c r="K21" s="6"/>
    </row>
    <row r="22" spans="1:31" ht="15">
      <c r="A22" s="8"/>
      <c r="B22" s="605">
        <f>-539680273890-3712472548-3406984897-21878826748</f>
        <v>-568678558083</v>
      </c>
      <c r="C22" s="605"/>
      <c r="D22" s="6"/>
      <c r="E22" s="6"/>
      <c r="F22" s="6"/>
      <c r="G22" s="6"/>
      <c r="H22" s="6"/>
      <c r="I22" s="6"/>
      <c r="J22" s="6"/>
      <c r="K22" s="6"/>
    </row>
    <row r="23" spans="1:31" ht="15">
      <c r="A23" s="998"/>
      <c r="B23" s="998"/>
      <c r="C23" s="998"/>
      <c r="D23"/>
      <c r="E23"/>
      <c r="F23"/>
      <c r="G23" s="472"/>
      <c r="H23"/>
      <c r="I23"/>
      <c r="J23"/>
      <c r="K23" s="6"/>
    </row>
    <row r="24" spans="1:31" ht="15">
      <c r="A24"/>
      <c r="B24" s="472"/>
      <c r="C24" s="472"/>
      <c r="D24"/>
      <c r="E24"/>
      <c r="F24"/>
      <c r="G24" s="472"/>
      <c r="H24"/>
      <c r="I24"/>
      <c r="J24"/>
      <c r="K24" s="6"/>
    </row>
    <row r="25" spans="1:31" ht="15">
      <c r="A25"/>
      <c r="B25" s="472"/>
      <c r="C25" s="472"/>
      <c r="D25"/>
      <c r="E25" s="606"/>
      <c r="F25" s="607"/>
      <c r="G25" s="607"/>
      <c r="H25"/>
      <c r="I25"/>
      <c r="J25"/>
      <c r="K25" s="6"/>
    </row>
    <row r="26" spans="1:31" ht="15">
      <c r="A26"/>
      <c r="B26" s="472"/>
      <c r="C26" s="472"/>
      <c r="D26"/>
      <c r="E26"/>
      <c r="F26" s="472"/>
      <c r="G26" s="472"/>
      <c r="H26"/>
      <c r="I26"/>
      <c r="J26"/>
      <c r="K26" s="6"/>
    </row>
    <row r="27" spans="1:31" ht="15">
      <c r="A27"/>
      <c r="B27" s="472"/>
      <c r="C27" s="472"/>
      <c r="D27" s="472"/>
      <c r="E27"/>
      <c r="F27" s="472"/>
      <c r="G27" s="472"/>
      <c r="H27"/>
      <c r="I27"/>
      <c r="J27"/>
      <c r="K27" s="6"/>
    </row>
    <row r="28" spans="1:31" ht="15">
      <c r="A28" s="608"/>
      <c r="B28" s="472"/>
      <c r="C28" s="472"/>
      <c r="D28"/>
      <c r="E28"/>
      <c r="F28" s="609"/>
      <c r="G28" s="609"/>
      <c r="H28"/>
      <c r="I28"/>
      <c r="J28"/>
      <c r="K28" s="6"/>
    </row>
    <row r="29" spans="1:31" ht="15">
      <c r="A29" s="608"/>
      <c r="B29" s="472"/>
      <c r="C29" s="472"/>
      <c r="D29"/>
      <c r="E29"/>
      <c r="F29"/>
      <c r="G29" s="472"/>
      <c r="H29"/>
      <c r="I29"/>
      <c r="J29"/>
      <c r="K29" s="6"/>
    </row>
    <row r="30" spans="1:31" ht="15">
      <c r="A30" s="608"/>
      <c r="B30" s="472"/>
      <c r="C30" s="472"/>
      <c r="D30"/>
      <c r="E30"/>
      <c r="F30"/>
      <c r="G30" s="472"/>
      <c r="H30"/>
      <c r="I30"/>
      <c r="J30"/>
      <c r="K30" s="6"/>
    </row>
    <row r="31" spans="1:31" ht="15">
      <c r="A31" s="608"/>
      <c r="B31" s="472"/>
      <c r="C31" s="472"/>
      <c r="D31"/>
      <c r="E31"/>
      <c r="F31"/>
      <c r="G31" s="472"/>
      <c r="H31"/>
      <c r="I31"/>
      <c r="J31"/>
      <c r="K31" s="6"/>
    </row>
    <row r="32" spans="1:31" ht="15">
      <c r="A32"/>
      <c r="B32" s="472"/>
      <c r="C32" s="472"/>
      <c r="D32"/>
      <c r="E32"/>
      <c r="F32"/>
      <c r="G32" s="472"/>
      <c r="H32"/>
      <c r="I32"/>
      <c r="J32"/>
      <c r="K32" s="6"/>
    </row>
    <row r="33" spans="1:11" ht="15">
      <c r="A33"/>
      <c r="B33" s="472"/>
      <c r="C33" s="472"/>
      <c r="D33"/>
      <c r="E33"/>
      <c r="F33"/>
      <c r="G33" s="472"/>
      <c r="H33"/>
      <c r="I33"/>
      <c r="J33"/>
      <c r="K33" s="6"/>
    </row>
    <row r="34" spans="1:11" ht="15">
      <c r="A34"/>
      <c r="B34" s="472"/>
      <c r="C34" s="472"/>
      <c r="D34"/>
      <c r="E34" s="609"/>
      <c r="F34"/>
      <c r="G34" s="609"/>
      <c r="H34"/>
      <c r="I34"/>
      <c r="J34"/>
      <c r="K34" s="6"/>
    </row>
    <row r="35" spans="1:11" ht="15">
      <c r="A35"/>
      <c r="B35" s="472"/>
      <c r="C35" s="472"/>
      <c r="D35"/>
      <c r="E35"/>
      <c r="F35"/>
      <c r="G35"/>
      <c r="H35"/>
      <c r="I35"/>
      <c r="J35"/>
      <c r="K35" s="6"/>
    </row>
    <row r="36" spans="1:11" ht="15">
      <c r="A36"/>
      <c r="B36" s="472"/>
      <c r="C36" s="472"/>
      <c r="D36"/>
      <c r="E36" s="472"/>
      <c r="F36"/>
      <c r="G36" s="472"/>
      <c r="H36"/>
      <c r="I36"/>
      <c r="J36"/>
      <c r="K36" s="6"/>
    </row>
    <row r="37" spans="1:11" ht="15">
      <c r="A37"/>
      <c r="B37" s="472"/>
      <c r="C37" s="472"/>
      <c r="D37"/>
      <c r="E37"/>
      <c r="F37"/>
      <c r="G37" s="472"/>
      <c r="H37"/>
      <c r="I37"/>
      <c r="J37"/>
      <c r="K37" s="6"/>
    </row>
    <row r="38" spans="1:11" ht="15">
      <c r="A38"/>
      <c r="B38" s="472"/>
      <c r="C38" s="472"/>
      <c r="D38"/>
      <c r="E38" s="610"/>
      <c r="F38" s="610"/>
      <c r="G38" s="607"/>
      <c r="H38"/>
      <c r="I38"/>
      <c r="J38"/>
      <c r="K38" s="6"/>
    </row>
    <row r="39" spans="1:11" ht="15">
      <c r="A39"/>
      <c r="B39"/>
      <c r="C39"/>
      <c r="D39" s="611"/>
      <c r="E39"/>
      <c r="F39" s="612"/>
      <c r="G39" s="472"/>
      <c r="H39"/>
      <c r="I39" s="472"/>
      <c r="J39"/>
      <c r="K39" s="6"/>
    </row>
    <row r="40" spans="1:11" ht="15">
      <c r="A40"/>
      <c r="B40" s="609"/>
      <c r="C40" s="609"/>
      <c r="D40" s="611"/>
      <c r="E40"/>
      <c r="F40" s="472"/>
      <c r="G40" s="472"/>
      <c r="H40"/>
      <c r="I40" s="472"/>
      <c r="J40"/>
      <c r="K40" s="6"/>
    </row>
    <row r="41" spans="1:11" ht="15">
      <c r="A41"/>
      <c r="B41"/>
      <c r="C41"/>
      <c r="D41" s="611"/>
      <c r="E41"/>
      <c r="F41" s="472"/>
      <c r="G41" s="472"/>
      <c r="H41"/>
      <c r="I41" s="472"/>
      <c r="J41"/>
      <c r="K41" s="6"/>
    </row>
    <row r="42" spans="1:11" ht="15">
      <c r="A42"/>
      <c r="B42"/>
      <c r="C42"/>
      <c r="D42"/>
      <c r="E42" s="8"/>
      <c r="F42" s="609"/>
      <c r="G42" s="609"/>
      <c r="H42"/>
      <c r="I42" s="609"/>
      <c r="J42"/>
      <c r="K42" s="6"/>
    </row>
    <row r="43" spans="1:11" ht="15">
      <c r="A43" s="613"/>
      <c r="B43" s="472"/>
      <c r="C43"/>
      <c r="D43"/>
      <c r="E43"/>
      <c r="F43"/>
      <c r="G43" s="472"/>
      <c r="H43"/>
      <c r="I43"/>
      <c r="J43"/>
      <c r="K43" s="6"/>
    </row>
    <row r="44" spans="1:11" ht="15">
      <c r="A44"/>
      <c r="B44"/>
      <c r="C44"/>
      <c r="D44"/>
      <c r="E44"/>
      <c r="F44" s="472"/>
      <c r="G44" s="472"/>
      <c r="H44"/>
      <c r="I44" s="472"/>
      <c r="J44"/>
      <c r="K44" s="6"/>
    </row>
    <row r="45" spans="1:11" ht="15">
      <c r="A45" s="613"/>
      <c r="B45" s="472"/>
      <c r="C45"/>
      <c r="D45"/>
      <c r="E45"/>
      <c r="F45" s="472"/>
      <c r="G45" s="472"/>
      <c r="H45"/>
      <c r="I45" s="472"/>
      <c r="J45"/>
      <c r="K45" s="6"/>
    </row>
    <row r="46" spans="1:11" ht="15">
      <c r="A46"/>
      <c r="B46"/>
      <c r="C46"/>
      <c r="D46"/>
      <c r="E46"/>
      <c r="F46" s="472"/>
      <c r="G46" s="472"/>
      <c r="H46"/>
      <c r="I46" s="472"/>
      <c r="J46"/>
      <c r="K46" s="6"/>
    </row>
    <row r="47" spans="1:11" ht="15">
      <c r="A47"/>
      <c r="B47"/>
      <c r="C47"/>
      <c r="D47"/>
      <c r="E47" s="8"/>
      <c r="F47" s="609"/>
      <c r="G47" s="609"/>
      <c r="H47"/>
      <c r="I47" s="609"/>
      <c r="J47"/>
      <c r="K47" s="6"/>
    </row>
    <row r="48" spans="1:11" ht="15">
      <c r="A48"/>
      <c r="B48"/>
      <c r="C48"/>
      <c r="D48"/>
      <c r="E48"/>
      <c r="F48" s="472"/>
      <c r="G48" s="472"/>
      <c r="H48"/>
      <c r="I48"/>
      <c r="J48"/>
      <c r="K48" s="6"/>
    </row>
    <row r="49" spans="1:11">
      <c r="A49" s="6"/>
      <c r="B49" s="596"/>
      <c r="C49" s="596"/>
      <c r="D49" s="6"/>
      <c r="E49" s="6"/>
      <c r="F49" s="6"/>
      <c r="G49" s="6"/>
      <c r="H49" s="6"/>
      <c r="I49" s="6"/>
      <c r="J49" s="6"/>
      <c r="K49" s="6"/>
    </row>
    <row r="50" spans="1:11">
      <c r="A50" s="6"/>
      <c r="B50" s="64"/>
      <c r="C50" s="64"/>
      <c r="D50" s="6"/>
      <c r="E50" s="6"/>
      <c r="F50" s="6"/>
      <c r="G50" s="6"/>
      <c r="H50" s="6"/>
      <c r="I50" s="6"/>
      <c r="J50" s="6"/>
      <c r="K50" s="6"/>
    </row>
    <row r="51" spans="1:11">
      <c r="A51" s="6"/>
      <c r="B51" s="64"/>
      <c r="C51" s="64"/>
      <c r="D51" s="6"/>
      <c r="E51" s="6"/>
      <c r="F51" s="6"/>
      <c r="G51" s="6"/>
      <c r="H51" s="6"/>
      <c r="I51" s="6"/>
      <c r="J51" s="6"/>
      <c r="K51" s="6"/>
    </row>
    <row r="52" spans="1:11">
      <c r="A52" s="6"/>
      <c r="B52" s="64"/>
      <c r="C52" s="64"/>
      <c r="D52" s="6"/>
      <c r="E52" s="6"/>
      <c r="F52" s="6"/>
      <c r="G52" s="6"/>
      <c r="H52" s="6"/>
      <c r="I52" s="6"/>
      <c r="J52" s="6"/>
      <c r="K52" s="6"/>
    </row>
  </sheetData>
  <mergeCells count="1">
    <mergeCell ref="A23:C23"/>
  </mergeCells>
  <hyperlinks>
    <hyperlink ref="B1" location="ER!A1" display="ER" xr:uid="{31A06D76-3CCD-4628-B411-B809835CDDBD}"/>
  </hyperlinks>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AG42"/>
  <sheetViews>
    <sheetView showGridLines="0" workbookViewId="0">
      <selection activeCell="B8" sqref="B8"/>
    </sheetView>
  </sheetViews>
  <sheetFormatPr baseColWidth="10" defaultColWidth="11.42578125" defaultRowHeight="15"/>
  <cols>
    <col min="1" max="1" width="34.5703125" style="9" customWidth="1"/>
    <col min="2" max="2" width="19.85546875" style="9" customWidth="1"/>
    <col min="3" max="3" width="18.28515625" style="9" customWidth="1"/>
    <col min="4" max="4" width="23" style="9" customWidth="1"/>
    <col min="5" max="5" width="17.7109375" style="9" customWidth="1"/>
    <col min="6" max="6" width="16.28515625" style="9" customWidth="1"/>
    <col min="7" max="7" width="19.140625" style="9" customWidth="1"/>
    <col min="8" max="8" width="0.7109375" style="9" hidden="1" customWidth="1"/>
    <col min="9" max="9" width="13.7109375" style="9" bestFit="1" customWidth="1"/>
    <col min="10" max="33" width="11.42578125" style="9"/>
  </cols>
  <sheetData>
    <row r="1" spans="1:33" ht="18" customHeight="1">
      <c r="A1" s="217" t="str">
        <f>Indice!C1</f>
        <v>NICOLAS GONZALEZ ODDONE S.A.E.C.A</v>
      </c>
      <c r="B1" s="632" t="s">
        <v>69</v>
      </c>
      <c r="C1" s="227"/>
      <c r="G1" s="16"/>
    </row>
    <row r="3" spans="1:33" ht="16.5" customHeight="1">
      <c r="A3" s="221" t="s">
        <v>801</v>
      </c>
      <c r="B3" s="221"/>
      <c r="C3" s="235"/>
      <c r="D3" s="235"/>
      <c r="E3" s="235"/>
      <c r="F3" s="235"/>
      <c r="G3" s="235"/>
      <c r="H3" s="235"/>
      <c r="I3" s="3"/>
      <c r="J3" s="3"/>
      <c r="K3" s="3"/>
      <c r="L3" s="3"/>
      <c r="M3" s="3"/>
      <c r="N3" s="3"/>
      <c r="O3" s="3"/>
      <c r="P3" s="3"/>
      <c r="Q3" s="3"/>
      <c r="R3" s="3"/>
      <c r="S3" s="3"/>
      <c r="T3" s="3"/>
      <c r="U3" s="3"/>
      <c r="V3" s="3"/>
      <c r="W3" s="3"/>
      <c r="X3" s="3"/>
      <c r="Y3" s="3"/>
      <c r="Z3" s="3"/>
      <c r="AA3" s="3"/>
      <c r="AB3" s="3"/>
      <c r="AC3" s="3"/>
      <c r="AD3" s="3"/>
      <c r="AE3" s="3"/>
      <c r="AF3" s="3"/>
      <c r="AG3" s="3"/>
    </row>
    <row r="4" spans="1:33">
      <c r="A4" s="55" t="s">
        <v>792</v>
      </c>
      <c r="B4" s="44"/>
      <c r="C4" s="44"/>
      <c r="D4" s="44"/>
      <c r="E4" s="44"/>
      <c r="F4" s="44"/>
      <c r="G4" s="44"/>
      <c r="H4" s="44"/>
      <c r="I4"/>
      <c r="J4"/>
      <c r="K4"/>
      <c r="L4"/>
      <c r="M4"/>
      <c r="N4"/>
      <c r="O4"/>
      <c r="P4"/>
      <c r="Q4"/>
      <c r="R4"/>
      <c r="S4"/>
      <c r="T4"/>
      <c r="U4"/>
      <c r="V4"/>
      <c r="W4"/>
      <c r="X4"/>
      <c r="Y4"/>
      <c r="Z4"/>
      <c r="AA4"/>
      <c r="AB4"/>
      <c r="AC4"/>
      <c r="AD4"/>
      <c r="AE4"/>
      <c r="AF4"/>
      <c r="AG4"/>
    </row>
    <row r="5" spans="1:33" s="27" customFormat="1" ht="15.75" thickBot="1">
      <c r="A5" s="55"/>
      <c r="D5" s="540"/>
      <c r="E5" s="55"/>
      <c r="F5" s="5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s="27" customFormat="1" ht="15.75" thickBot="1">
      <c r="A6" s="999" t="s">
        <v>345</v>
      </c>
      <c r="B6" s="587"/>
      <c r="C6" s="588">
        <v>44834</v>
      </c>
      <c r="D6" s="589"/>
      <c r="E6" s="590"/>
      <c r="F6" s="588">
        <v>44469</v>
      </c>
      <c r="G6" s="242"/>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s="27" customFormat="1" ht="29.25" customHeight="1" thickBot="1">
      <c r="A7" s="1000"/>
      <c r="B7" s="243" t="s">
        <v>802</v>
      </c>
      <c r="C7" s="243" t="s">
        <v>803</v>
      </c>
      <c r="D7" s="243" t="s">
        <v>166</v>
      </c>
      <c r="E7" s="243" t="s">
        <v>802</v>
      </c>
      <c r="F7" s="243" t="s">
        <v>803</v>
      </c>
      <c r="G7" s="243" t="s">
        <v>166</v>
      </c>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s="27" customFormat="1" ht="15.75" customHeight="1">
      <c r="A8" s="41" t="s">
        <v>804</v>
      </c>
      <c r="B8" s="172">
        <f>502446356+89899692+45594125+26623861+1178500+60273833+85300+207023+265368+40000</f>
        <v>726614058</v>
      </c>
      <c r="C8" s="172">
        <f>76729627+1831484+1493698</f>
        <v>80054809</v>
      </c>
      <c r="D8" s="172">
        <f>+C8+B8</f>
        <v>806668867</v>
      </c>
      <c r="E8" s="172">
        <v>795012954</v>
      </c>
      <c r="F8" s="172">
        <v>38204701</v>
      </c>
      <c r="G8" s="172">
        <f>+F8+E8</f>
        <v>833217655</v>
      </c>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s="27" customFormat="1">
      <c r="A9" s="171" t="s">
        <v>805</v>
      </c>
      <c r="B9" s="172">
        <f>272029034+157893117+275601931+4984406+6073209</f>
        <v>716581697</v>
      </c>
      <c r="C9" s="172">
        <f>228626927+9338638+3676169+7660473+998200</f>
        <v>250300407</v>
      </c>
      <c r="D9" s="172">
        <f>+B9+C9</f>
        <v>966882104</v>
      </c>
      <c r="E9" s="172">
        <v>232702021</v>
      </c>
      <c r="F9" s="172">
        <v>135478145</v>
      </c>
      <c r="G9" s="172">
        <f>+F9+E9</f>
        <v>368180166</v>
      </c>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s="27" customFormat="1">
      <c r="A10" s="42" t="s">
        <v>806</v>
      </c>
      <c r="B10" s="173">
        <f>1058613913+92954090+216000000</f>
        <v>1367568003</v>
      </c>
      <c r="C10" s="173">
        <f>201670545+78117250+28315518</f>
        <v>308103313</v>
      </c>
      <c r="D10" s="173">
        <f t="shared" ref="D10:D20" si="0">+C10+B10</f>
        <v>1675671316</v>
      </c>
      <c r="E10" s="173">
        <v>1205212922</v>
      </c>
      <c r="F10" s="173">
        <v>211553699</v>
      </c>
      <c r="G10" s="173">
        <f>+F10+E10</f>
        <v>1416766621</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s="27" customFormat="1" hidden="1">
      <c r="A11" s="42" t="s">
        <v>807</v>
      </c>
      <c r="B11" s="173"/>
      <c r="C11" s="173">
        <v>0</v>
      </c>
      <c r="D11" s="173">
        <f t="shared" si="0"/>
        <v>0</v>
      </c>
      <c r="E11" s="173">
        <v>0</v>
      </c>
      <c r="F11" s="173">
        <v>0</v>
      </c>
      <c r="G11" s="173">
        <f t="shared" ref="G11:G30" si="1">+F11+E11</f>
        <v>0</v>
      </c>
    </row>
    <row r="12" spans="1:33" s="27" customFormat="1">
      <c r="A12" s="42" t="s">
        <v>808</v>
      </c>
      <c r="B12" s="173">
        <f>3863636+500000+941896787+2320909+58559200</f>
        <v>1007140532</v>
      </c>
      <c r="C12" s="173">
        <f>370663025+267735668+12780137</f>
        <v>651178830</v>
      </c>
      <c r="D12" s="173">
        <f t="shared" si="0"/>
        <v>1658319362</v>
      </c>
      <c r="E12" s="173">
        <v>794366331</v>
      </c>
      <c r="F12" s="173">
        <v>991516567</v>
      </c>
      <c r="G12" s="173">
        <f t="shared" si="1"/>
        <v>1785882898</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s="27" customFormat="1" ht="16.5" customHeight="1">
      <c r="A13" s="42" t="s">
        <v>809</v>
      </c>
      <c r="B13" s="173">
        <f>117844175+162699545+534866708+81378792+28327464</f>
        <v>925116684</v>
      </c>
      <c r="C13" s="173">
        <f>1269106846+21150000+110580000+46887274+162239175+138663000+152987800</f>
        <v>1901614095</v>
      </c>
      <c r="D13" s="173">
        <f t="shared" si="0"/>
        <v>2826730779</v>
      </c>
      <c r="E13" s="173">
        <v>897573278</v>
      </c>
      <c r="F13" s="173">
        <v>1466757137</v>
      </c>
      <c r="G13" s="173">
        <f t="shared" si="1"/>
        <v>2364330415</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s="27" customFormat="1">
      <c r="A14" s="42" t="s">
        <v>810</v>
      </c>
      <c r="B14" s="173"/>
      <c r="C14" s="173">
        <f>949454034-2200000</f>
        <v>947254034</v>
      </c>
      <c r="D14" s="173">
        <f t="shared" si="0"/>
        <v>947254034</v>
      </c>
      <c r="E14" s="173">
        <v>4968700</v>
      </c>
      <c r="F14" s="173">
        <v>750165042</v>
      </c>
      <c r="G14" s="173">
        <f t="shared" si="1"/>
        <v>755133742</v>
      </c>
      <c r="H14" s="26"/>
      <c r="I14" s="70"/>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s="27" customFormat="1">
      <c r="A15" s="42" t="s">
        <v>811</v>
      </c>
      <c r="B15" s="173">
        <f>797452+38040808+764770452+10597423+15812708</f>
        <v>830018843</v>
      </c>
      <c r="C15" s="173">
        <f>994186754+4895969+110610981+176285457+2246200</f>
        <v>1288225361</v>
      </c>
      <c r="D15" s="173">
        <f t="shared" si="0"/>
        <v>2118244204</v>
      </c>
      <c r="E15" s="173">
        <v>567410633</v>
      </c>
      <c r="F15" s="173">
        <v>1111036663</v>
      </c>
      <c r="G15" s="173">
        <f t="shared" si="1"/>
        <v>1678447296</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s="27" customFormat="1">
      <c r="A16" s="42" t="s">
        <v>812</v>
      </c>
      <c r="B16" s="173">
        <f>1090910+277397826+52795130+4620853</f>
        <v>335904719</v>
      </c>
      <c r="C16" s="173">
        <f>50251579+58699309+4086244+23788363+30198489</f>
        <v>167023984</v>
      </c>
      <c r="D16" s="173">
        <f t="shared" si="0"/>
        <v>502928703</v>
      </c>
      <c r="E16" s="173">
        <v>317876588</v>
      </c>
      <c r="F16" s="173">
        <v>126391733</v>
      </c>
      <c r="G16" s="173">
        <f t="shared" si="1"/>
        <v>444268321</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27" customFormat="1" hidden="1">
      <c r="A17" s="42" t="s">
        <v>813</v>
      </c>
      <c r="B17" s="173">
        <v>0</v>
      </c>
      <c r="C17" s="173"/>
      <c r="D17" s="173">
        <f t="shared" si="0"/>
        <v>0</v>
      </c>
      <c r="E17" s="173">
        <v>0</v>
      </c>
      <c r="F17" s="173">
        <v>0</v>
      </c>
      <c r="G17" s="173">
        <f t="shared" si="1"/>
        <v>0</v>
      </c>
    </row>
    <row r="18" spans="1:33" s="27" customFormat="1" ht="21.75" customHeight="1">
      <c r="A18" s="42" t="s">
        <v>814</v>
      </c>
      <c r="B18" s="173">
        <v>0</v>
      </c>
      <c r="C18" s="173">
        <f>1553846788+49090906</f>
        <v>1602937694</v>
      </c>
      <c r="D18" s="173">
        <f t="shared" si="0"/>
        <v>1602937694</v>
      </c>
      <c r="E18" s="173">
        <v>0</v>
      </c>
      <c r="F18" s="173">
        <v>793875606</v>
      </c>
      <c r="G18" s="173">
        <f t="shared" si="1"/>
        <v>793875606</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27" customFormat="1">
      <c r="A19" s="42" t="s">
        <v>815</v>
      </c>
      <c r="B19" s="173">
        <f>2774352131+4010917169+49943745+295720862+694019838+145880971+3251636098+1627683315+47002006+28439301+520155329+126800000+17497494</f>
        <v>13590048259</v>
      </c>
      <c r="C19" s="173">
        <f>3461199531+562613864+18478441+86468333+526082445+832711661+525135000+49477334+746872259+69070000+45000000</f>
        <v>6923108868</v>
      </c>
      <c r="D19" s="173">
        <f>+C19+B19</f>
        <v>20513157127</v>
      </c>
      <c r="E19" s="173">
        <v>12075053545</v>
      </c>
      <c r="F19" s="173">
        <v>5661996714</v>
      </c>
      <c r="G19" s="173">
        <f t="shared" si="1"/>
        <v>17737050259</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27" customFormat="1">
      <c r="A20" s="42" t="s">
        <v>816</v>
      </c>
      <c r="B20" s="173">
        <f>20894402+43946289+1139432765+44758757+545368699+21907640+53174138+150972127+369496+63557484+62535173+243554735+587050464+68617623+253319426+4086667+35836188+376971542+9038696+172078840+5378039+39075461+93286696+3884748+38687775+23809086+12024792</f>
        <v>4113617748</v>
      </c>
      <c r="C20" s="173">
        <f>114987227+263317053+729233352+25039680+310321121+86803605+41590205+23062709+141367770+59862588+7016666+29437502+92662213+38110000+4800000+8955760+4523111+3391759+135190111+8861962+67995188+7425000+3750000</f>
        <v>2207704582</v>
      </c>
      <c r="D20" s="173">
        <f t="shared" si="0"/>
        <v>6321322330</v>
      </c>
      <c r="E20" s="173">
        <v>3629144141</v>
      </c>
      <c r="F20" s="173">
        <v>1730905133</v>
      </c>
      <c r="G20" s="173">
        <f t="shared" si="1"/>
        <v>5360049274</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s="27" customFormat="1">
      <c r="A21" s="42" t="s">
        <v>817</v>
      </c>
      <c r="B21" s="173">
        <f>1168182+194010000+6572728+2109091+297166978+1369000+53523808+3553667+40140000+1845500+1338824+180000+2325000+46582041+8792195+287825000+49821968+11390909+2009091+3108398+17330000+372461991+10028600+2480000+23456711+147780000+909091+3690908+4054000+525000+944257+250000+43965000+3372727+350000+14500000+5870000+68233+7308480+3150000+1350000+82143067</f>
        <v>1760820445</v>
      </c>
      <c r="C21" s="173">
        <f>1120312288+190815000+175909+11791003+2339091+866449+32474050+3605000+4386562+22650000+318182+11145476+16397729+500000+24270000+2481819+75000+1002910+1893750003+20535000+56509307+29320545+15089091+9720700+13300000+1498018+29800000+27127343+518166036+2310000+318182+57400000+4958300+5008300+4345000+3000000+1000000+700000+2271076</f>
        <v>4141733369</v>
      </c>
      <c r="D21" s="173">
        <f>+C21+B21</f>
        <v>5902553814</v>
      </c>
      <c r="E21" s="173">
        <v>1114461541</v>
      </c>
      <c r="F21" s="173">
        <v>1285554533</v>
      </c>
      <c r="G21" s="173">
        <f t="shared" si="1"/>
        <v>2400016074</v>
      </c>
      <c r="H21" s="26"/>
      <c r="I21" s="70"/>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s="27" customFormat="1">
      <c r="A22" s="42" t="s">
        <v>818</v>
      </c>
      <c r="B22" s="173">
        <v>2260274150</v>
      </c>
      <c r="C22" s="173">
        <v>0</v>
      </c>
      <c r="D22" s="173">
        <f>+C22+B22</f>
        <v>2260274150</v>
      </c>
      <c r="E22" s="173">
        <v>1551764455</v>
      </c>
      <c r="F22" s="173">
        <v>0</v>
      </c>
      <c r="G22" s="173">
        <f t="shared" si="1"/>
        <v>1551764455</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s="27" customFormat="1" ht="14.25" customHeight="1">
      <c r="A23" s="42" t="s">
        <v>819</v>
      </c>
      <c r="B23" s="173">
        <f>26581213+161990000</f>
        <v>188571213</v>
      </c>
      <c r="C23" s="173">
        <v>0</v>
      </c>
      <c r="D23" s="173">
        <f t="shared" ref="D23:D29" si="2">+C23+B23</f>
        <v>188571213</v>
      </c>
      <c r="E23" s="173">
        <v>189529236</v>
      </c>
      <c r="F23" s="173">
        <v>0</v>
      </c>
      <c r="G23" s="173">
        <f t="shared" si="1"/>
        <v>189529236</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c r="A24" s="42" t="s">
        <v>820</v>
      </c>
      <c r="B24" s="173">
        <v>18823487797</v>
      </c>
      <c r="C24" s="173">
        <v>0</v>
      </c>
      <c r="D24" s="173">
        <f t="shared" si="2"/>
        <v>18823487797</v>
      </c>
      <c r="E24" s="173">
        <v>17656291998</v>
      </c>
      <c r="F24" s="173">
        <v>0</v>
      </c>
      <c r="G24" s="173">
        <f t="shared" si="1"/>
        <v>17656291998</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17.25" customHeight="1">
      <c r="A25" s="42" t="s">
        <v>821</v>
      </c>
      <c r="B25" s="173">
        <v>0</v>
      </c>
      <c r="C25" s="173">
        <f>2200000+6001996</f>
        <v>8201996</v>
      </c>
      <c r="D25" s="173">
        <f>+C25+B25</f>
        <v>8201996</v>
      </c>
      <c r="E25" s="173">
        <v>0</v>
      </c>
      <c r="F25" s="173">
        <v>0</v>
      </c>
      <c r="G25" s="173">
        <f t="shared" si="1"/>
        <v>0</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15.75" hidden="1" customHeight="1">
      <c r="A26" s="42" t="s">
        <v>822</v>
      </c>
      <c r="B26" s="173">
        <v>0</v>
      </c>
      <c r="C26" s="173"/>
      <c r="D26" s="173">
        <f t="shared" si="2"/>
        <v>0</v>
      </c>
      <c r="E26" s="173">
        <v>0</v>
      </c>
      <c r="F26" s="173">
        <v>0</v>
      </c>
      <c r="G26" s="173">
        <f t="shared" si="1"/>
        <v>0</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c r="A27" s="42" t="s">
        <v>823</v>
      </c>
      <c r="B27" s="173">
        <v>0</v>
      </c>
      <c r="C27" s="173">
        <f>1492033981+787389628+469560828+1920081374+508608606+343272610+67667042+577673580</f>
        <v>6166287649</v>
      </c>
      <c r="D27" s="173">
        <f>+B27+C27</f>
        <v>6166287649</v>
      </c>
      <c r="E27" s="173">
        <v>0</v>
      </c>
      <c r="F27" s="173">
        <v>6450865121</v>
      </c>
      <c r="G27" s="173">
        <f t="shared" si="1"/>
        <v>6450865121</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7" customFormat="1">
      <c r="A28" s="42" t="s">
        <v>824</v>
      </c>
      <c r="B28" s="173">
        <v>0</v>
      </c>
      <c r="C28" s="173">
        <f>21074744+1007069072+333537903+15401069</f>
        <v>1377082788</v>
      </c>
      <c r="D28" s="173">
        <f>+B28+C28</f>
        <v>1377082788</v>
      </c>
      <c r="E28" s="173">
        <v>0</v>
      </c>
      <c r="F28" s="173">
        <v>1568464359</v>
      </c>
      <c r="G28" s="173">
        <f t="shared" si="1"/>
        <v>1568464359</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s="27" customFormat="1">
      <c r="A29" s="42" t="s">
        <v>825</v>
      </c>
      <c r="B29" s="173">
        <v>0</v>
      </c>
      <c r="C29" s="173">
        <v>0</v>
      </c>
      <c r="D29" s="173">
        <f t="shared" si="2"/>
        <v>0</v>
      </c>
      <c r="E29" s="173">
        <v>0</v>
      </c>
      <c r="F29" s="173">
        <v>0</v>
      </c>
      <c r="G29" s="173">
        <f t="shared" si="1"/>
        <v>0</v>
      </c>
    </row>
    <row r="30" spans="1:33" s="27" customFormat="1">
      <c r="A30" s="170" t="s">
        <v>826</v>
      </c>
      <c r="B30" s="174">
        <v>5019246613</v>
      </c>
      <c r="C30" s="174">
        <v>0</v>
      </c>
      <c r="D30" s="173">
        <f>+C30+B30</f>
        <v>5019246613</v>
      </c>
      <c r="E30" s="174">
        <v>4264599818</v>
      </c>
      <c r="F30" s="174">
        <v>0</v>
      </c>
      <c r="G30" s="173">
        <f t="shared" si="1"/>
        <v>4264599818</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c r="A31" s="170" t="s">
        <v>388</v>
      </c>
      <c r="B31" s="174">
        <f>434462742512-402611355890+22312020261+15301227379+5517248901-1595679177+3873363529-2875022445+197878085+11232968-B8-B9-B10-B12-B13-B14-B15-B16-B19-B20-B21-B22-B23-B24-B30</f>
        <v>22928645362</v>
      </c>
      <c r="C31" s="174">
        <f>24286513095+779892453+1944675372+3617905698+70384387+1542309+1385640637-C8-C9-C10-C11-C12-C13-C14-C15-C16-C17-C18-C19-C20-C21-C22-C23-C24-C25-C26-C27-C28-C29-C30</f>
        <v>4065742172</v>
      </c>
      <c r="D31" s="173">
        <f>C31+B31</f>
        <v>26994387534</v>
      </c>
      <c r="E31" s="174">
        <v>14788060694</v>
      </c>
      <c r="F31" s="174">
        <v>2499399033</v>
      </c>
      <c r="G31" s="173">
        <f>+F31+E31</f>
        <v>17287459727</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15.75" thickBot="1">
      <c r="A32" s="43" t="s">
        <v>166</v>
      </c>
      <c r="B32" s="373">
        <f>+SUM($B$8:B31)</f>
        <v>74593656123</v>
      </c>
      <c r="C32" s="373">
        <f>+SUM($C$8:C31)</f>
        <v>32086553951</v>
      </c>
      <c r="D32" s="373">
        <f>+SUM($D$8:D31)</f>
        <v>106680210074</v>
      </c>
      <c r="E32" s="373">
        <f>SUM(E8:E31)</f>
        <v>60084028855</v>
      </c>
      <c r="F32" s="373">
        <f>+SUM($F$8:F31)</f>
        <v>24822164186</v>
      </c>
      <c r="G32" s="373">
        <f>+SUM($G$8:H31)</f>
        <v>84906193041</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c r="A33" s="26"/>
      <c r="B33" s="26"/>
      <c r="C33" s="70"/>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c r="A34" s="26"/>
      <c r="B34" s="70"/>
      <c r="C34" s="70"/>
      <c r="D34" s="26"/>
      <c r="E34" s="70"/>
      <c r="F34" s="70"/>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c r="A35" s="70"/>
      <c r="B35" s="70"/>
      <c r="C35" s="70"/>
      <c r="D35" s="26"/>
      <c r="E35" s="70"/>
      <c r="F35" s="7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c r="A36" s="26"/>
      <c r="B36" s="70"/>
      <c r="C36" s="70"/>
      <c r="D36" s="26"/>
      <c r="E36" s="70"/>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c r="A37" s="26"/>
      <c r="B37" s="26"/>
      <c r="C37" s="26"/>
      <c r="D37" s="26"/>
      <c r="E37" s="70"/>
      <c r="F37" s="70"/>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c r="A38" s="26"/>
      <c r="B38" s="70"/>
      <c r="C38" s="59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c r="A39" s="26"/>
      <c r="B39" s="26"/>
      <c r="C39" s="7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18" customFormat="1">
      <c r="A41" s="10"/>
      <c r="B41" s="10"/>
      <c r="C41" s="595"/>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s="18" customForma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sheetData>
  <mergeCells count="1">
    <mergeCell ref="A6:A7"/>
  </mergeCells>
  <hyperlinks>
    <hyperlink ref="B1" location="ER!A1" display="ER" xr:uid="{50197257-8FBB-4A7F-AB22-E56885013B05}"/>
  </hyperlinks>
  <pageMargins left="0.7" right="0.7" top="0.75" bottom="0.75" header="0.3" footer="0.3"/>
  <pageSetup orientation="portrait" verticalDpi="0" r:id="rId1"/>
  <ignoredErrors>
    <ignoredError sqref="D9"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X100"/>
  <sheetViews>
    <sheetView showGridLines="0" workbookViewId="0">
      <selection activeCell="B39" sqref="B39"/>
    </sheetView>
  </sheetViews>
  <sheetFormatPr baseColWidth="10" defaultColWidth="11.42578125" defaultRowHeight="12"/>
  <cols>
    <col min="1" max="1" width="40.5703125" style="94" customWidth="1"/>
    <col min="2" max="2" width="13.85546875" style="94" customWidth="1"/>
    <col min="3" max="3" width="14.28515625" style="94" customWidth="1"/>
    <col min="4" max="4" width="2.42578125" style="94" customWidth="1"/>
    <col min="5" max="5" width="29" style="94" customWidth="1"/>
    <col min="6" max="6" width="16.42578125" style="94" customWidth="1"/>
    <col min="7" max="7" width="14" style="94" customWidth="1"/>
    <col min="8" max="8" width="12.5703125" style="94" bestFit="1" customWidth="1"/>
    <col min="9" max="9" width="13.85546875" style="94" bestFit="1" customWidth="1"/>
    <col min="10" max="20" width="11.42578125" style="94"/>
    <col min="21" max="16384" width="11.42578125" style="6"/>
  </cols>
  <sheetData>
    <row r="1" spans="1:24" ht="17.25" customHeight="1">
      <c r="A1" s="217" t="str">
        <f>Indice!C1</f>
        <v>NICOLAS GONZALEZ ODDONE S.A.E.C.A</v>
      </c>
      <c r="B1" s="632" t="s">
        <v>69</v>
      </c>
      <c r="C1" s="227"/>
      <c r="E1" s="97"/>
    </row>
    <row r="3" spans="1:24" ht="18.75" customHeight="1">
      <c r="A3" s="960" t="s">
        <v>827</v>
      </c>
      <c r="B3" s="960"/>
      <c r="C3" s="960"/>
      <c r="D3" s="960"/>
      <c r="E3" s="960"/>
      <c r="F3" s="960"/>
      <c r="G3" s="960"/>
      <c r="U3" s="94"/>
      <c r="V3" s="94"/>
      <c r="W3" s="94"/>
      <c r="X3" s="94"/>
    </row>
    <row r="4" spans="1:24">
      <c r="A4" s="57" t="s">
        <v>792</v>
      </c>
      <c r="B4" s="181"/>
      <c r="C4" s="181"/>
      <c r="D4" s="181"/>
      <c r="E4" s="181"/>
      <c r="F4" s="175"/>
      <c r="U4" s="94"/>
      <c r="V4" s="94"/>
      <c r="W4" s="94"/>
      <c r="X4" s="94"/>
    </row>
    <row r="5" spans="1:24">
      <c r="A5" s="57"/>
      <c r="B5" s="181"/>
      <c r="C5" s="181"/>
      <c r="D5" s="181"/>
      <c r="E5" s="181"/>
      <c r="F5" s="175"/>
      <c r="U5" s="94"/>
      <c r="V5" s="94"/>
      <c r="W5" s="94"/>
      <c r="X5" s="94"/>
    </row>
    <row r="6" spans="1:24">
      <c r="A6" s="191" t="s">
        <v>828</v>
      </c>
      <c r="B6" s="1001"/>
      <c r="C6" s="1001"/>
      <c r="D6" s="177"/>
      <c r="E6" s="179" t="s">
        <v>829</v>
      </c>
      <c r="F6" s="175"/>
      <c r="U6" s="94"/>
      <c r="V6" s="94"/>
      <c r="W6" s="94"/>
      <c r="X6" s="94"/>
    </row>
    <row r="7" spans="1:24" ht="12.75">
      <c r="A7" s="916" t="s">
        <v>345</v>
      </c>
      <c r="B7" s="585">
        <v>44834</v>
      </c>
      <c r="C7" s="585">
        <v>44469</v>
      </c>
      <c r="D7" s="177"/>
      <c r="E7" s="916" t="s">
        <v>345</v>
      </c>
      <c r="F7" s="585">
        <v>44834</v>
      </c>
      <c r="G7" s="585">
        <v>44469</v>
      </c>
      <c r="U7" s="94"/>
      <c r="V7" s="94"/>
      <c r="W7" s="94"/>
      <c r="X7" s="94"/>
    </row>
    <row r="8" spans="1:24" ht="12.75">
      <c r="A8" s="183" t="s">
        <v>541</v>
      </c>
      <c r="B8" s="169"/>
      <c r="C8" s="169"/>
      <c r="D8" s="177"/>
      <c r="E8" s="183" t="s">
        <v>533</v>
      </c>
      <c r="F8" s="591"/>
      <c r="G8" s="591"/>
      <c r="I8" s="95"/>
      <c r="U8" s="94"/>
      <c r="V8" s="94"/>
      <c r="W8" s="94"/>
      <c r="X8" s="94"/>
    </row>
    <row r="9" spans="1:24">
      <c r="A9" s="178" t="s">
        <v>830</v>
      </c>
      <c r="B9" s="500">
        <f>1374841069+12270447</f>
        <v>1387111516</v>
      </c>
      <c r="C9" s="189">
        <f>415915696+5858255</f>
        <v>421773951</v>
      </c>
      <c r="D9" s="177"/>
      <c r="E9" s="178" t="s">
        <v>831</v>
      </c>
      <c r="F9" s="189">
        <v>-897269843</v>
      </c>
      <c r="G9" s="189">
        <v>-794764317</v>
      </c>
      <c r="I9" s="95"/>
      <c r="U9" s="94"/>
      <c r="V9" s="94"/>
      <c r="W9" s="94"/>
      <c r="X9" s="94"/>
    </row>
    <row r="10" spans="1:24">
      <c r="A10" s="178" t="s">
        <v>832</v>
      </c>
      <c r="B10" s="500">
        <v>175098188</v>
      </c>
      <c r="C10" s="189">
        <v>341758400</v>
      </c>
      <c r="D10" s="177"/>
      <c r="E10" s="178" t="s">
        <v>833</v>
      </c>
      <c r="F10" s="189">
        <v>-4843067661</v>
      </c>
      <c r="G10" s="189">
        <v>-3688637345</v>
      </c>
      <c r="U10" s="94"/>
      <c r="V10" s="94"/>
      <c r="W10" s="94"/>
      <c r="X10" s="94"/>
    </row>
    <row r="11" spans="1:24" s="573" customFormat="1">
      <c r="A11" s="178" t="s">
        <v>1426</v>
      </c>
      <c r="B11" s="553">
        <v>6036678</v>
      </c>
      <c r="C11" s="190">
        <v>0</v>
      </c>
      <c r="D11" s="571"/>
      <c r="E11" s="571" t="s">
        <v>835</v>
      </c>
      <c r="F11" s="604">
        <v>-2238947123</v>
      </c>
      <c r="G11" s="604">
        <v>-2416868217</v>
      </c>
      <c r="H11" s="572"/>
      <c r="I11" s="572"/>
      <c r="J11" s="572"/>
      <c r="K11" s="572"/>
      <c r="L11" s="572"/>
      <c r="M11" s="572"/>
      <c r="N11" s="572"/>
      <c r="O11" s="572"/>
      <c r="P11" s="572"/>
      <c r="Q11" s="572"/>
      <c r="R11" s="572"/>
      <c r="S11" s="572"/>
      <c r="T11" s="572"/>
      <c r="U11" s="572"/>
      <c r="V11" s="572"/>
      <c r="W11" s="572"/>
      <c r="X11" s="572"/>
    </row>
    <row r="12" spans="1:24">
      <c r="A12" s="178" t="s">
        <v>836</v>
      </c>
      <c r="B12" s="500">
        <v>1331422108</v>
      </c>
      <c r="C12" s="189">
        <v>447877598</v>
      </c>
      <c r="D12" s="177"/>
      <c r="E12" s="178" t="s">
        <v>837</v>
      </c>
      <c r="F12" s="189">
        <v>0</v>
      </c>
      <c r="G12" s="189">
        <v>-414205</v>
      </c>
      <c r="U12" s="94"/>
      <c r="V12" s="94"/>
      <c r="W12" s="94"/>
      <c r="X12" s="94"/>
    </row>
    <row r="13" spans="1:24">
      <c r="A13" s="178" t="s">
        <v>838</v>
      </c>
      <c r="B13" s="500">
        <v>157327335</v>
      </c>
      <c r="C13" s="189">
        <v>25094002</v>
      </c>
      <c r="D13" s="177"/>
      <c r="E13" s="178" t="s">
        <v>839</v>
      </c>
      <c r="F13" s="189">
        <v>-169227990</v>
      </c>
      <c r="G13" s="189">
        <v>-189093013</v>
      </c>
      <c r="U13" s="94"/>
      <c r="V13" s="94"/>
      <c r="W13" s="94"/>
      <c r="X13" s="94"/>
    </row>
    <row r="14" spans="1:24">
      <c r="A14" s="178" t="s">
        <v>840</v>
      </c>
      <c r="B14" s="500">
        <v>36530750</v>
      </c>
      <c r="C14" s="500">
        <v>5794008</v>
      </c>
      <c r="D14" s="177"/>
      <c r="E14" s="178" t="s">
        <v>841</v>
      </c>
      <c r="F14" s="190">
        <v>0</v>
      </c>
      <c r="G14" s="190">
        <v>-1563075994</v>
      </c>
      <c r="U14" s="94"/>
      <c r="V14" s="94"/>
      <c r="W14" s="94"/>
      <c r="X14" s="94"/>
    </row>
    <row r="15" spans="1:24">
      <c r="A15" s="178" t="s">
        <v>1422</v>
      </c>
      <c r="B15" s="553">
        <v>446591252</v>
      </c>
      <c r="C15" s="190">
        <v>823626430</v>
      </c>
      <c r="D15" s="177"/>
      <c r="E15" s="178" t="s">
        <v>842</v>
      </c>
      <c r="F15" s="190">
        <v>-1398059</v>
      </c>
      <c r="G15" s="190">
        <v>-1303606</v>
      </c>
      <c r="I15" s="95"/>
      <c r="U15" s="94"/>
      <c r="V15" s="94"/>
      <c r="W15" s="94"/>
      <c r="X15" s="94"/>
    </row>
    <row r="16" spans="1:24">
      <c r="A16" s="178" t="s">
        <v>843</v>
      </c>
      <c r="B16" s="553">
        <v>2065027920</v>
      </c>
      <c r="C16" s="190">
        <v>1581679635</v>
      </c>
      <c r="D16" s="177"/>
      <c r="E16" s="178" t="s">
        <v>844</v>
      </c>
      <c r="F16" s="190">
        <v>-1822446065</v>
      </c>
      <c r="G16" s="190">
        <v>-799901952</v>
      </c>
      <c r="U16" s="94"/>
      <c r="V16" s="94"/>
      <c r="W16" s="94"/>
      <c r="X16" s="94"/>
    </row>
    <row r="17" spans="1:24" ht="12.75" customHeight="1" thickBot="1">
      <c r="A17" s="178" t="s">
        <v>845</v>
      </c>
      <c r="B17" s="553">
        <v>38391367</v>
      </c>
      <c r="C17" s="190">
        <v>40581804</v>
      </c>
      <c r="D17" s="177"/>
      <c r="E17" s="179" t="s">
        <v>166</v>
      </c>
      <c r="F17" s="917">
        <f>SUM(F9:F16)</f>
        <v>-9972356741</v>
      </c>
      <c r="G17" s="918">
        <f>SUM(G9:G16)</f>
        <v>-9454058649</v>
      </c>
      <c r="U17" s="94"/>
      <c r="V17" s="94"/>
      <c r="W17" s="94"/>
      <c r="X17" s="94"/>
    </row>
    <row r="18" spans="1:24" ht="12.75" thickTop="1">
      <c r="A18" s="178" t="s">
        <v>846</v>
      </c>
      <c r="B18" s="553">
        <v>60262777</v>
      </c>
      <c r="C18" s="190">
        <v>23179972</v>
      </c>
      <c r="D18" s="177"/>
      <c r="E18" s="179"/>
      <c r="F18" s="764"/>
      <c r="G18" s="765"/>
      <c r="I18" s="95"/>
      <c r="U18" s="94"/>
      <c r="V18" s="94"/>
      <c r="W18" s="94"/>
      <c r="X18" s="94"/>
    </row>
    <row r="19" spans="1:24">
      <c r="A19" s="178" t="s">
        <v>847</v>
      </c>
      <c r="B19" s="553">
        <v>71770746</v>
      </c>
      <c r="C19" s="190">
        <v>35929616</v>
      </c>
      <c r="D19" s="177"/>
      <c r="E19" s="179"/>
      <c r="F19" s="192"/>
      <c r="G19" s="193"/>
      <c r="I19" s="95"/>
      <c r="U19" s="94"/>
      <c r="V19" s="94"/>
      <c r="W19" s="94"/>
      <c r="X19" s="94"/>
    </row>
    <row r="20" spans="1:24">
      <c r="A20" s="178" t="s">
        <v>848</v>
      </c>
      <c r="B20" s="190">
        <v>804410231</v>
      </c>
      <c r="C20" s="190">
        <v>1624899316</v>
      </c>
      <c r="D20" s="177"/>
      <c r="E20" s="178"/>
      <c r="F20" s="182"/>
      <c r="G20" s="178"/>
      <c r="I20" s="95"/>
      <c r="U20" s="94"/>
      <c r="V20" s="94"/>
      <c r="W20" s="94"/>
      <c r="X20" s="94"/>
    </row>
    <row r="21" spans="1:24">
      <c r="A21" s="178" t="s">
        <v>849</v>
      </c>
      <c r="B21" s="190">
        <v>197613126</v>
      </c>
      <c r="C21" s="190">
        <v>534055763</v>
      </c>
      <c r="D21" s="177"/>
      <c r="E21" s="175"/>
      <c r="F21" s="182"/>
      <c r="G21" s="178"/>
      <c r="H21" s="95"/>
      <c r="U21" s="94"/>
      <c r="V21" s="94"/>
      <c r="W21" s="94"/>
      <c r="X21" s="94"/>
    </row>
    <row r="22" spans="1:24">
      <c r="A22" s="178" t="s">
        <v>850</v>
      </c>
      <c r="B22" s="190">
        <v>1764802211</v>
      </c>
      <c r="C22" s="190">
        <v>803289509</v>
      </c>
      <c r="D22" s="177"/>
      <c r="E22" s="175"/>
      <c r="F22" s="734"/>
      <c r="G22" s="178"/>
      <c r="U22" s="94"/>
      <c r="V22" s="94"/>
      <c r="W22" s="94"/>
      <c r="X22" s="94"/>
    </row>
    <row r="23" spans="1:24">
      <c r="A23" s="178" t="s">
        <v>851</v>
      </c>
      <c r="B23" s="190">
        <v>750341621</v>
      </c>
      <c r="C23" s="190">
        <v>70298202</v>
      </c>
      <c r="D23" s="177"/>
      <c r="E23" s="175"/>
      <c r="F23" s="176"/>
      <c r="G23" s="178"/>
      <c r="U23" s="94"/>
      <c r="V23" s="94"/>
      <c r="W23" s="94"/>
      <c r="X23" s="94"/>
    </row>
    <row r="24" spans="1:24">
      <c r="A24" s="178" t="s">
        <v>834</v>
      </c>
      <c r="B24" s="553">
        <v>2483805</v>
      </c>
      <c r="C24" s="190">
        <v>5991391</v>
      </c>
      <c r="D24" s="177"/>
      <c r="E24" s="175"/>
      <c r="F24" s="176"/>
      <c r="G24" s="178"/>
      <c r="U24" s="94"/>
      <c r="V24" s="94"/>
      <c r="W24" s="94"/>
      <c r="X24" s="94"/>
    </row>
    <row r="25" spans="1:24">
      <c r="A25" s="178" t="s">
        <v>852</v>
      </c>
      <c r="B25" s="190">
        <v>920772267</v>
      </c>
      <c r="C25" s="500">
        <v>0</v>
      </c>
      <c r="D25" s="177"/>
      <c r="E25" s="178"/>
      <c r="F25" s="176"/>
      <c r="G25" s="178"/>
      <c r="U25" s="94"/>
      <c r="V25" s="94"/>
      <c r="W25" s="94"/>
      <c r="X25" s="94"/>
    </row>
    <row r="26" spans="1:24">
      <c r="A26" s="178" t="s">
        <v>853</v>
      </c>
      <c r="B26" s="190">
        <v>4324850</v>
      </c>
      <c r="C26" s="190">
        <v>25226026</v>
      </c>
      <c r="D26" s="177"/>
      <c r="E26" s="178"/>
      <c r="F26" s="182"/>
      <c r="G26" s="175"/>
      <c r="U26" s="94"/>
      <c r="V26" s="94"/>
      <c r="W26" s="94"/>
      <c r="X26" s="94"/>
    </row>
    <row r="27" spans="1:24">
      <c r="A27" s="178" t="s">
        <v>854</v>
      </c>
      <c r="B27" s="190">
        <v>3080379</v>
      </c>
      <c r="C27" s="190">
        <v>400000</v>
      </c>
      <c r="D27" s="177"/>
      <c r="E27" s="175"/>
      <c r="F27" s="176"/>
      <c r="G27" s="178"/>
      <c r="U27" s="94"/>
      <c r="V27" s="94"/>
      <c r="W27" s="94"/>
      <c r="X27" s="94"/>
    </row>
    <row r="28" spans="1:24">
      <c r="A28" s="178" t="s">
        <v>855</v>
      </c>
      <c r="B28" s="190">
        <v>92149</v>
      </c>
      <c r="C28" s="190">
        <v>6307299</v>
      </c>
      <c r="D28" s="177"/>
      <c r="E28" s="175"/>
      <c r="F28" s="176"/>
      <c r="G28" s="178"/>
      <c r="U28" s="94"/>
      <c r="V28" s="94"/>
      <c r="W28" s="94"/>
      <c r="X28" s="94"/>
    </row>
    <row r="29" spans="1:24">
      <c r="A29" s="178" t="s">
        <v>856</v>
      </c>
      <c r="B29" s="190">
        <v>137282170</v>
      </c>
      <c r="C29" s="190">
        <v>175143595</v>
      </c>
      <c r="D29" s="177"/>
      <c r="E29" s="175"/>
      <c r="F29" s="176"/>
      <c r="G29" s="178"/>
      <c r="U29" s="94"/>
      <c r="V29" s="94"/>
      <c r="W29" s="94"/>
      <c r="X29" s="94"/>
    </row>
    <row r="30" spans="1:24">
      <c r="A30" s="178" t="s">
        <v>857</v>
      </c>
      <c r="B30" s="190">
        <v>111811101</v>
      </c>
      <c r="C30" s="190">
        <v>111193047</v>
      </c>
      <c r="D30" s="177"/>
      <c r="E30" s="175"/>
      <c r="F30" s="176"/>
      <c r="G30" s="178"/>
      <c r="U30" s="94"/>
      <c r="V30" s="94"/>
      <c r="W30" s="94"/>
      <c r="X30" s="94"/>
    </row>
    <row r="31" spans="1:24">
      <c r="A31" s="178" t="s">
        <v>858</v>
      </c>
      <c r="B31" s="190">
        <v>18386247</v>
      </c>
      <c r="C31" s="190">
        <v>24297500</v>
      </c>
      <c r="D31" s="177"/>
      <c r="E31" s="175"/>
      <c r="F31" s="176"/>
      <c r="G31" s="178"/>
      <c r="U31" s="94"/>
      <c r="V31" s="94"/>
      <c r="W31" s="94"/>
      <c r="X31" s="94"/>
    </row>
    <row r="32" spans="1:24">
      <c r="A32" s="178" t="s">
        <v>859</v>
      </c>
      <c r="B32" s="190">
        <v>0</v>
      </c>
      <c r="C32" s="190">
        <v>4805625</v>
      </c>
      <c r="D32" s="177"/>
      <c r="E32" s="175"/>
      <c r="F32" s="176"/>
      <c r="G32" s="178"/>
      <c r="U32" s="94"/>
      <c r="V32" s="94"/>
      <c r="W32" s="94"/>
      <c r="X32" s="94"/>
    </row>
    <row r="33" spans="1:24">
      <c r="A33" s="178" t="s">
        <v>860</v>
      </c>
      <c r="B33" s="937">
        <v>0</v>
      </c>
      <c r="C33" s="494">
        <v>25355802</v>
      </c>
      <c r="D33" s="177"/>
      <c r="E33" s="175"/>
      <c r="F33" s="176"/>
      <c r="G33" s="178"/>
      <c r="U33" s="94"/>
      <c r="V33" s="94"/>
      <c r="W33" s="94"/>
      <c r="X33" s="94"/>
    </row>
    <row r="34" spans="1:24">
      <c r="A34" s="179" t="s">
        <v>862</v>
      </c>
      <c r="B34" s="192">
        <f>SUM(B9:B33)</f>
        <v>10490970794</v>
      </c>
      <c r="C34" s="193">
        <f>SUM(C9:C33)</f>
        <v>7158558491</v>
      </c>
      <c r="D34" s="177"/>
      <c r="E34" s="175"/>
      <c r="F34" s="176"/>
      <c r="G34" s="178"/>
      <c r="U34" s="94"/>
      <c r="V34" s="94"/>
      <c r="W34" s="94"/>
      <c r="X34" s="94"/>
    </row>
    <row r="35" spans="1:24">
      <c r="A35" s="178"/>
      <c r="B35" s="190"/>
      <c r="C35" s="189"/>
      <c r="D35" s="177"/>
      <c r="E35" s="175"/>
      <c r="F35" s="176"/>
      <c r="G35" s="178"/>
      <c r="U35" s="94"/>
      <c r="V35" s="94"/>
      <c r="W35" s="94"/>
      <c r="X35" s="94"/>
    </row>
    <row r="36" spans="1:24">
      <c r="A36" s="183" t="s">
        <v>533</v>
      </c>
      <c r="B36" s="190"/>
      <c r="C36" s="189"/>
      <c r="D36" s="177"/>
      <c r="E36" s="178"/>
      <c r="F36" s="190"/>
      <c r="G36" s="189"/>
      <c r="U36" s="94"/>
      <c r="V36" s="94"/>
      <c r="W36" s="94"/>
      <c r="X36" s="94"/>
    </row>
    <row r="37" spans="1:24">
      <c r="A37" s="178" t="s">
        <v>863</v>
      </c>
      <c r="B37" s="190">
        <v>1340662</v>
      </c>
      <c r="C37" s="190">
        <v>549584</v>
      </c>
      <c r="D37" s="177"/>
      <c r="E37" s="178"/>
      <c r="F37" s="190"/>
      <c r="G37" s="189"/>
      <c r="U37" s="94"/>
      <c r="V37" s="94"/>
      <c r="W37" s="94"/>
      <c r="X37" s="94"/>
    </row>
    <row r="38" spans="1:24">
      <c r="A38" s="178" t="s">
        <v>864</v>
      </c>
      <c r="B38" s="190">
        <v>82574603</v>
      </c>
      <c r="C38" s="190">
        <v>47887634</v>
      </c>
      <c r="D38" s="177"/>
      <c r="E38" s="178"/>
      <c r="F38" s="190"/>
      <c r="G38" s="189"/>
      <c r="U38" s="94"/>
      <c r="V38" s="94"/>
      <c r="W38" s="94"/>
      <c r="X38" s="94"/>
    </row>
    <row r="39" spans="1:24" ht="13.5" customHeight="1">
      <c r="A39" s="178" t="s">
        <v>865</v>
      </c>
      <c r="B39" s="190">
        <v>0</v>
      </c>
      <c r="C39" s="189">
        <v>14123431</v>
      </c>
      <c r="D39" s="177"/>
      <c r="E39" s="178"/>
      <c r="F39" s="190"/>
      <c r="G39" s="189"/>
      <c r="U39" s="94"/>
      <c r="V39" s="94"/>
      <c r="W39" s="94"/>
      <c r="X39" s="94"/>
    </row>
    <row r="40" spans="1:24">
      <c r="A40" s="178" t="s">
        <v>866</v>
      </c>
      <c r="B40" s="190">
        <v>5779623010</v>
      </c>
      <c r="C40" s="190">
        <v>18716204022</v>
      </c>
      <c r="D40" s="177"/>
      <c r="E40" s="550"/>
      <c r="F40" s="176"/>
      <c r="G40" s="178"/>
      <c r="U40" s="94"/>
      <c r="V40" s="94"/>
      <c r="W40" s="94"/>
      <c r="X40" s="94"/>
    </row>
    <row r="41" spans="1:24">
      <c r="A41" s="179" t="s">
        <v>867</v>
      </c>
      <c r="B41" s="726">
        <f>SUM($B$37:B40)</f>
        <v>5863538275</v>
      </c>
      <c r="C41" s="726">
        <f>SUM($C$37:C40)</f>
        <v>18778764671</v>
      </c>
      <c r="D41" s="180"/>
      <c r="E41" s="939"/>
      <c r="F41" s="202"/>
      <c r="G41" s="202"/>
      <c r="U41" s="94"/>
      <c r="V41" s="94"/>
      <c r="W41" s="94"/>
      <c r="X41" s="94"/>
    </row>
    <row r="42" spans="1:24" ht="18.75" customHeight="1" thickBot="1">
      <c r="A42" s="111" t="s">
        <v>868</v>
      </c>
      <c r="B42" s="349">
        <f>+B34+B41</f>
        <v>16354509069</v>
      </c>
      <c r="C42" s="349">
        <f>C34+C41</f>
        <v>25937323162</v>
      </c>
      <c r="D42" s="177"/>
      <c r="E42" s="733"/>
      <c r="F42" s="175"/>
      <c r="U42" s="94"/>
      <c r="V42" s="94"/>
      <c r="W42" s="94"/>
      <c r="X42" s="94"/>
    </row>
    <row r="43" spans="1:24" ht="14.25" thickTop="1">
      <c r="A43" s="6"/>
      <c r="B43" s="6"/>
      <c r="C43" s="6"/>
      <c r="D43" s="177"/>
      <c r="E43" s="733"/>
      <c r="F43" s="350"/>
      <c r="U43" s="94"/>
      <c r="V43" s="94"/>
      <c r="W43" s="94"/>
      <c r="X43" s="94"/>
    </row>
    <row r="44" spans="1:24" ht="13.5">
      <c r="A44" s="6"/>
      <c r="B44" s="6"/>
      <c r="C44" s="6"/>
      <c r="D44" s="177"/>
      <c r="E44" s="733"/>
      <c r="F44" s="350"/>
      <c r="U44" s="94"/>
      <c r="V44" s="94"/>
      <c r="W44" s="94"/>
      <c r="X44" s="94"/>
    </row>
    <row r="45" spans="1:24" ht="13.5">
      <c r="A45" s="957" t="s">
        <v>869</v>
      </c>
      <c r="B45" s="957"/>
      <c r="C45" s="957"/>
      <c r="D45" s="177"/>
      <c r="E45" s="733"/>
      <c r="F45" s="350"/>
      <c r="U45" s="94"/>
      <c r="V45" s="94"/>
      <c r="W45" s="94"/>
      <c r="X45" s="94"/>
    </row>
    <row r="46" spans="1:24">
      <c r="A46" s="6"/>
      <c r="B46" s="6"/>
      <c r="C46" s="227" t="s">
        <v>69</v>
      </c>
      <c r="D46" s="177"/>
      <c r="E46" s="733"/>
      <c r="F46" s="175"/>
      <c r="U46" s="94"/>
      <c r="V46" s="94"/>
      <c r="W46" s="94"/>
      <c r="X46" s="94"/>
    </row>
    <row r="47" spans="1:24">
      <c r="A47" s="178"/>
      <c r="D47" s="177"/>
      <c r="E47" s="733"/>
      <c r="F47" s="175"/>
      <c r="U47" s="94"/>
      <c r="V47" s="94"/>
      <c r="W47" s="94"/>
      <c r="X47" s="94"/>
    </row>
    <row r="48" spans="1:24" ht="12.75">
      <c r="A48" s="916" t="s">
        <v>345</v>
      </c>
      <c r="B48" s="585">
        <v>44834</v>
      </c>
      <c r="C48" s="585">
        <v>44469</v>
      </c>
      <c r="D48" s="177"/>
      <c r="E48" s="733"/>
      <c r="F48" s="175"/>
      <c r="U48" s="94"/>
      <c r="V48" s="94"/>
      <c r="W48" s="94"/>
      <c r="X48" s="94"/>
    </row>
    <row r="49" spans="1:6">
      <c r="A49" s="178" t="s">
        <v>870</v>
      </c>
      <c r="B49" s="189">
        <v>1824020298</v>
      </c>
      <c r="C49" s="189">
        <v>1401591742</v>
      </c>
      <c r="D49" s="177"/>
      <c r="E49" s="733"/>
    </row>
    <row r="50" spans="1:6">
      <c r="A50" s="178" t="s">
        <v>871</v>
      </c>
      <c r="B50" s="189">
        <v>2526803290</v>
      </c>
      <c r="C50" s="189">
        <v>1183795599</v>
      </c>
      <c r="D50" s="177"/>
      <c r="E50" s="733"/>
    </row>
    <row r="51" spans="1:6" hidden="1">
      <c r="A51" s="178" t="s">
        <v>872</v>
      </c>
      <c r="B51" s="189">
        <v>0</v>
      </c>
      <c r="C51" s="189">
        <v>0</v>
      </c>
      <c r="D51" s="177"/>
      <c r="E51" s="733"/>
    </row>
    <row r="52" spans="1:6">
      <c r="A52" s="178" t="s">
        <v>873</v>
      </c>
      <c r="B52" s="189">
        <v>63645455</v>
      </c>
      <c r="C52" s="189">
        <v>46268001</v>
      </c>
      <c r="D52" s="177"/>
      <c r="E52" s="733"/>
    </row>
    <row r="53" spans="1:6">
      <c r="A53" s="178" t="s">
        <v>448</v>
      </c>
      <c r="B53" s="189">
        <f>-144635150-1259462-117226</f>
        <v>-146011838</v>
      </c>
      <c r="C53" s="189">
        <v>-76696510</v>
      </c>
      <c r="D53" s="177"/>
      <c r="E53" s="733"/>
    </row>
    <row r="54" spans="1:6">
      <c r="A54" s="178" t="s">
        <v>874</v>
      </c>
      <c r="B54" s="189">
        <v>-112404050</v>
      </c>
      <c r="C54" s="189">
        <v>-83139049</v>
      </c>
      <c r="D54" s="177"/>
      <c r="E54" s="733"/>
    </row>
    <row r="55" spans="1:6">
      <c r="A55" s="178" t="s">
        <v>875</v>
      </c>
      <c r="B55" s="190">
        <v>-69614018</v>
      </c>
      <c r="C55" s="189">
        <v>-40683000</v>
      </c>
      <c r="D55" s="177"/>
      <c r="E55" s="733"/>
    </row>
    <row r="56" spans="1:6">
      <c r="A56" s="178" t="s">
        <v>876</v>
      </c>
      <c r="B56" s="190">
        <v>-420245107</v>
      </c>
      <c r="C56" s="190">
        <v>-25252408</v>
      </c>
      <c r="D56" s="177"/>
      <c r="E56" s="6"/>
      <c r="F56" s="95"/>
    </row>
    <row r="57" spans="1:6">
      <c r="A57" s="178" t="s">
        <v>877</v>
      </c>
      <c r="B57" s="190">
        <v>-9462107</v>
      </c>
      <c r="C57" s="190">
        <v>-7055812</v>
      </c>
      <c r="D57" s="177"/>
      <c r="E57" s="733"/>
      <c r="F57" s="95"/>
    </row>
    <row r="58" spans="1:6">
      <c r="A58" s="178" t="s">
        <v>878</v>
      </c>
      <c r="B58" s="190">
        <v>-233489625</v>
      </c>
      <c r="C58" s="190">
        <v>-494679473</v>
      </c>
      <c r="D58" s="177"/>
      <c r="E58" s="733"/>
    </row>
    <row r="59" spans="1:6">
      <c r="A59" s="178" t="s">
        <v>879</v>
      </c>
      <c r="B59" s="190">
        <v>0</v>
      </c>
      <c r="C59" s="190">
        <v>-45031630</v>
      </c>
      <c r="D59" s="177"/>
      <c r="E59" s="733"/>
    </row>
    <row r="60" spans="1:6">
      <c r="A60" s="178" t="s">
        <v>871</v>
      </c>
      <c r="B60" s="190">
        <v>0</v>
      </c>
      <c r="C60" s="189">
        <v>-52199827</v>
      </c>
      <c r="D60" s="177"/>
      <c r="E60" s="733"/>
    </row>
    <row r="61" spans="1:6">
      <c r="A61" s="178" t="s">
        <v>880</v>
      </c>
      <c r="B61" s="190">
        <v>-166087348</v>
      </c>
      <c r="C61" s="190">
        <v>-226192862</v>
      </c>
      <c r="D61" s="177"/>
      <c r="E61" s="733"/>
    </row>
    <row r="62" spans="1:6" hidden="1">
      <c r="A62" s="178" t="s">
        <v>881</v>
      </c>
      <c r="B62" s="190">
        <v>0</v>
      </c>
      <c r="C62" s="189">
        <v>0</v>
      </c>
      <c r="D62" s="177"/>
      <c r="E62" s="733"/>
    </row>
    <row r="63" spans="1:6" hidden="1">
      <c r="A63" s="178" t="s">
        <v>882</v>
      </c>
      <c r="B63" s="190">
        <v>0</v>
      </c>
      <c r="C63" s="189">
        <v>0</v>
      </c>
      <c r="D63" s="177"/>
      <c r="E63" s="733"/>
    </row>
    <row r="64" spans="1:6">
      <c r="A64" s="179" t="s">
        <v>166</v>
      </c>
      <c r="B64" s="919">
        <f>SUM($B$49:B63)</f>
        <v>3257154950</v>
      </c>
      <c r="C64" s="919">
        <f>SUM(C49:C63)</f>
        <v>1580724771</v>
      </c>
      <c r="D64" s="177"/>
      <c r="E64" s="733"/>
    </row>
    <row r="65" spans="1:5">
      <c r="A65" s="178"/>
      <c r="B65" s="182"/>
      <c r="C65" s="188"/>
      <c r="D65" s="177"/>
      <c r="E65" s="733"/>
    </row>
    <row r="66" spans="1:5">
      <c r="E66" s="215"/>
    </row>
    <row r="67" spans="1:5" ht="12.75">
      <c r="A67" s="916" t="s">
        <v>345</v>
      </c>
      <c r="B67" s="585">
        <v>44834</v>
      </c>
      <c r="C67" s="585">
        <v>44469</v>
      </c>
      <c r="E67" s="6"/>
    </row>
    <row r="68" spans="1:5">
      <c r="A68" s="178" t="s">
        <v>861</v>
      </c>
      <c r="B68" s="190">
        <v>-153809497</v>
      </c>
      <c r="C68" s="190">
        <v>-6797514</v>
      </c>
      <c r="E68" s="6"/>
    </row>
    <row r="69" spans="1:5">
      <c r="A69" s="179" t="s">
        <v>166</v>
      </c>
      <c r="B69" s="727">
        <f>+B68</f>
        <v>-153809497</v>
      </c>
      <c r="C69" s="727">
        <f>+C68</f>
        <v>-6797514</v>
      </c>
      <c r="E69" s="6"/>
    </row>
    <row r="70" spans="1:5" ht="12.75" thickBot="1">
      <c r="A70" s="111" t="s">
        <v>883</v>
      </c>
      <c r="B70" s="349">
        <f>+B64+B69</f>
        <v>3103345453</v>
      </c>
      <c r="C70" s="349">
        <f>+C64+C68</f>
        <v>1573927257</v>
      </c>
      <c r="E70" s="6"/>
    </row>
    <row r="71" spans="1:5" ht="12.75" thickTop="1">
      <c r="E71" s="6"/>
    </row>
    <row r="72" spans="1:5">
      <c r="E72" s="6"/>
    </row>
    <row r="73" spans="1:5">
      <c r="E73" s="6"/>
    </row>
    <row r="74" spans="1:5">
      <c r="E74" s="6"/>
    </row>
    <row r="75" spans="1:5">
      <c r="E75" s="6"/>
    </row>
    <row r="76" spans="1:5">
      <c r="E76" s="6"/>
    </row>
    <row r="77" spans="1:5">
      <c r="E77" s="6"/>
    </row>
    <row r="78" spans="1:5">
      <c r="E78" s="6"/>
    </row>
    <row r="79" spans="1:5">
      <c r="E79" s="6"/>
    </row>
    <row r="80" spans="1:5">
      <c r="E80" s="6"/>
    </row>
    <row r="81" spans="5:9">
      <c r="E81" s="6"/>
    </row>
    <row r="82" spans="5:9">
      <c r="E82" s="6"/>
    </row>
    <row r="83" spans="5:9">
      <c r="E83" s="6"/>
    </row>
    <row r="84" spans="5:9">
      <c r="E84" s="6"/>
    </row>
    <row r="85" spans="5:9">
      <c r="E85" s="6"/>
    </row>
    <row r="86" spans="5:9">
      <c r="E86" s="6"/>
      <c r="F86" s="6"/>
      <c r="G86" s="6"/>
      <c r="H86" s="6"/>
      <c r="I86" s="6"/>
    </row>
    <row r="87" spans="5:9">
      <c r="E87" s="261"/>
      <c r="F87" s="550"/>
      <c r="G87" s="6"/>
      <c r="H87" s="6"/>
      <c r="I87" s="6"/>
    </row>
    <row r="88" spans="5:9">
      <c r="E88" s="261"/>
      <c r="F88" s="169"/>
      <c r="G88" s="555"/>
      <c r="H88" s="6"/>
      <c r="I88" s="6"/>
    </row>
    <row r="89" spans="5:9">
      <c r="E89" s="551"/>
      <c r="F89" s="556"/>
      <c r="G89" s="557"/>
      <c r="H89" s="6"/>
      <c r="I89" s="6"/>
    </row>
    <row r="90" spans="5:9">
      <c r="E90" s="552"/>
      <c r="F90" s="500"/>
      <c r="G90" s="550"/>
      <c r="H90" s="6"/>
      <c r="I90" s="6"/>
    </row>
    <row r="91" spans="5:9">
      <c r="E91" s="552"/>
      <c r="F91" s="500"/>
      <c r="G91" s="550"/>
      <c r="H91" s="6"/>
      <c r="I91" s="6"/>
    </row>
    <row r="92" spans="5:9">
      <c r="E92" s="552"/>
      <c r="F92" s="500"/>
      <c r="G92" s="550"/>
      <c r="H92" s="6"/>
      <c r="I92" s="6"/>
    </row>
    <row r="93" spans="5:9">
      <c r="E93" s="552"/>
      <c r="F93" s="500"/>
      <c r="G93" s="550"/>
      <c r="H93" s="6"/>
      <c r="I93" s="6"/>
    </row>
    <row r="94" spans="5:9">
      <c r="E94" s="552"/>
      <c r="F94" s="500"/>
      <c r="G94" s="550"/>
      <c r="H94" s="6"/>
      <c r="I94" s="6"/>
    </row>
    <row r="95" spans="5:9">
      <c r="E95" s="552"/>
      <c r="F95" s="553"/>
      <c r="G95" s="550"/>
      <c r="H95" s="6"/>
      <c r="I95" s="6"/>
    </row>
    <row r="96" spans="5:9">
      <c r="E96" s="552"/>
      <c r="F96" s="553"/>
      <c r="G96" s="550"/>
      <c r="H96" s="6"/>
      <c r="I96" s="6"/>
    </row>
    <row r="97" spans="5:9">
      <c r="E97" s="552"/>
      <c r="F97" s="553"/>
      <c r="G97" s="550"/>
      <c r="H97" s="6"/>
      <c r="I97" s="6"/>
    </row>
    <row r="98" spans="5:9">
      <c r="E98" s="261"/>
      <c r="F98" s="558"/>
      <c r="G98" s="559"/>
      <c r="H98" s="6"/>
      <c r="I98" s="6"/>
    </row>
    <row r="99" spans="5:9">
      <c r="E99" s="552"/>
      <c r="F99" s="554"/>
      <c r="G99" s="552"/>
      <c r="H99" s="6"/>
      <c r="I99" s="98"/>
    </row>
    <row r="100" spans="5:9">
      <c r="E100" s="552"/>
      <c r="F100" s="554"/>
      <c r="G100" s="552"/>
      <c r="H100" s="6"/>
      <c r="I100" s="6"/>
    </row>
  </sheetData>
  <mergeCells count="3">
    <mergeCell ref="B6:C6"/>
    <mergeCell ref="A3:G3"/>
    <mergeCell ref="A45:C45"/>
  </mergeCells>
  <hyperlinks>
    <hyperlink ref="B1" location="ER!A1" display="ER" xr:uid="{F432E90A-8FF4-41E5-8DF3-CEC074D40BAE}"/>
    <hyperlink ref="C46" location="ER!A1" display="ER" xr:uid="{00000000-0004-0000-2200-000001000000}"/>
  </hyperlinks>
  <pageMargins left="0.7" right="0.7" top="0.75" bottom="0.75" header="0.3" footer="0.3"/>
  <pageSetup orientation="portrait" r:id="rId1"/>
  <ignoredErrors>
    <ignoredError sqref="C64"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AE38"/>
  <sheetViews>
    <sheetView showGridLines="0" workbookViewId="0">
      <selection activeCell="B24" sqref="B24"/>
    </sheetView>
  </sheetViews>
  <sheetFormatPr baseColWidth="10" defaultColWidth="11.42578125" defaultRowHeight="15"/>
  <cols>
    <col min="1" max="1" width="33.42578125" style="9" customWidth="1"/>
    <col min="2" max="3" width="18.42578125" style="9" customWidth="1"/>
    <col min="4" max="4" width="7" style="9" customWidth="1"/>
    <col min="5" max="5" width="34.42578125" style="9" customWidth="1"/>
    <col min="6" max="6" width="13.7109375" style="9" customWidth="1"/>
    <col min="7" max="7" width="15.140625" style="9" customWidth="1"/>
    <col min="8" max="8" width="13.7109375" style="9" bestFit="1" customWidth="1"/>
    <col min="9" max="15" width="11.42578125" style="9"/>
  </cols>
  <sheetData>
    <row r="1" spans="1:31" ht="17.25" customHeight="1">
      <c r="A1" s="217" t="str">
        <f>Indice!C1</f>
        <v>NICOLAS GONZALEZ ODDONE S.A.E.C.A</v>
      </c>
      <c r="B1" s="632" t="s">
        <v>69</v>
      </c>
      <c r="C1" s="227"/>
      <c r="E1" s="16"/>
    </row>
    <row r="3" spans="1:31" ht="16.5" customHeight="1">
      <c r="A3" s="221" t="s">
        <v>884</v>
      </c>
      <c r="B3" s="221"/>
      <c r="C3" s="221"/>
      <c r="D3" s="221"/>
      <c r="E3" s="221"/>
      <c r="F3" s="221"/>
      <c r="G3" s="221"/>
      <c r="H3" s="3"/>
      <c r="I3" s="3"/>
      <c r="J3" s="3"/>
      <c r="K3" s="3"/>
      <c r="L3" s="3"/>
      <c r="M3" s="3"/>
      <c r="N3" s="3"/>
      <c r="O3" s="3"/>
      <c r="P3" s="3"/>
      <c r="Q3" s="3"/>
      <c r="R3" s="3"/>
      <c r="S3" s="3"/>
      <c r="T3" s="3"/>
      <c r="U3" s="3"/>
      <c r="V3" s="3"/>
      <c r="W3" s="3"/>
      <c r="X3" s="3"/>
      <c r="Y3" s="3"/>
      <c r="Z3" s="3"/>
      <c r="AA3" s="3"/>
      <c r="AB3" s="3"/>
      <c r="AC3" s="3"/>
      <c r="AD3" s="3"/>
    </row>
    <row r="4" spans="1:31">
      <c r="A4" s="196" t="s">
        <v>792</v>
      </c>
    </row>
    <row r="5" spans="1:31">
      <c r="A5" s="241"/>
    </row>
    <row r="6" spans="1:31">
      <c r="A6" s="126" t="s">
        <v>885</v>
      </c>
      <c r="B6" s="94"/>
      <c r="C6" s="244"/>
      <c r="D6" s="94"/>
      <c r="E6" s="99" t="s">
        <v>886</v>
      </c>
      <c r="F6" s="94"/>
      <c r="G6" s="94"/>
    </row>
    <row r="7" spans="1:31">
      <c r="A7" s="394" t="s">
        <v>345</v>
      </c>
      <c r="B7" s="232">
        <v>44834</v>
      </c>
      <c r="C7" s="232">
        <v>44469</v>
      </c>
      <c r="D7" s="2"/>
      <c r="E7" s="394" t="s">
        <v>345</v>
      </c>
      <c r="F7" s="232">
        <v>44834</v>
      </c>
      <c r="G7" s="232">
        <v>44469</v>
      </c>
      <c r="H7" s="3"/>
      <c r="I7" s="3"/>
      <c r="J7" s="3"/>
      <c r="K7" s="3"/>
      <c r="L7" s="3"/>
      <c r="M7" s="3"/>
      <c r="N7" s="3"/>
      <c r="O7" s="3"/>
      <c r="P7" s="3"/>
      <c r="Q7" s="3"/>
      <c r="R7" s="3"/>
      <c r="S7" s="3"/>
      <c r="T7" s="3"/>
      <c r="U7" s="3"/>
      <c r="V7" s="3"/>
      <c r="W7" s="3"/>
      <c r="X7" s="3"/>
      <c r="Y7" s="3"/>
      <c r="Z7" s="3"/>
      <c r="AA7" s="3"/>
      <c r="AB7" s="3"/>
      <c r="AC7" s="3"/>
      <c r="AD7" s="3"/>
      <c r="AE7" s="3"/>
    </row>
    <row r="8" spans="1:31">
      <c r="A8" s="2" t="s">
        <v>887</v>
      </c>
      <c r="B8" s="106">
        <v>93272107</v>
      </c>
      <c r="C8" s="106">
        <v>295026632</v>
      </c>
      <c r="D8" s="3"/>
      <c r="E8" s="2" t="s">
        <v>888</v>
      </c>
      <c r="F8" s="106">
        <f>-24922706-46550</f>
        <v>-24969256</v>
      </c>
      <c r="G8" s="106">
        <v>-11237648</v>
      </c>
      <c r="H8" s="3"/>
      <c r="I8" s="3"/>
      <c r="J8" s="3"/>
      <c r="K8" s="3"/>
      <c r="L8" s="3"/>
      <c r="M8" s="3"/>
      <c r="N8" s="3"/>
      <c r="O8" s="3"/>
      <c r="P8" s="3"/>
      <c r="Q8" s="3"/>
      <c r="R8" s="3"/>
      <c r="S8" s="3"/>
      <c r="T8" s="3"/>
      <c r="U8" s="3"/>
      <c r="V8" s="3"/>
      <c r="W8" s="3"/>
      <c r="X8" s="3"/>
      <c r="Y8" s="3"/>
      <c r="Z8" s="3"/>
      <c r="AA8" s="3"/>
      <c r="AB8" s="3"/>
      <c r="AC8" s="3"/>
      <c r="AD8" s="3"/>
      <c r="AE8" s="3"/>
    </row>
    <row r="9" spans="1:31">
      <c r="A9" s="2" t="s">
        <v>889</v>
      </c>
      <c r="B9" s="106">
        <v>21839482203</v>
      </c>
      <c r="C9" s="106">
        <v>41822745272</v>
      </c>
      <c r="D9" s="3"/>
      <c r="E9" s="2" t="s">
        <v>890</v>
      </c>
      <c r="F9" s="106">
        <v>-4069174968</v>
      </c>
      <c r="G9" s="106">
        <v>-2411375340</v>
      </c>
      <c r="H9" s="3"/>
      <c r="I9" s="3"/>
      <c r="J9" s="3"/>
      <c r="K9" s="3"/>
      <c r="L9" s="3"/>
      <c r="M9" s="3"/>
      <c r="N9" s="3"/>
      <c r="O9" s="3"/>
      <c r="P9" s="3"/>
      <c r="Q9" s="3"/>
      <c r="R9" s="3"/>
      <c r="S9" s="3"/>
      <c r="T9" s="3"/>
      <c r="U9" s="3"/>
      <c r="V9" s="3"/>
      <c r="W9" s="3"/>
      <c r="X9" s="3"/>
      <c r="Y9" s="3"/>
      <c r="Z9" s="3"/>
      <c r="AA9" s="3"/>
      <c r="AB9" s="3"/>
      <c r="AC9" s="3"/>
      <c r="AD9" s="3"/>
      <c r="AE9" s="3"/>
    </row>
    <row r="10" spans="1:31">
      <c r="A10" s="2" t="s">
        <v>891</v>
      </c>
      <c r="B10" s="106">
        <v>2385276059</v>
      </c>
      <c r="C10" s="106">
        <v>3717328513</v>
      </c>
      <c r="D10" s="3"/>
      <c r="E10" s="2" t="s">
        <v>892</v>
      </c>
      <c r="F10" s="106">
        <v>-22359714023</v>
      </c>
      <c r="G10" s="106">
        <v>-39140149262</v>
      </c>
      <c r="H10" s="3"/>
      <c r="I10" s="3"/>
      <c r="J10" s="3"/>
      <c r="K10" s="3"/>
      <c r="L10" s="3"/>
      <c r="M10" s="3"/>
      <c r="N10" s="3"/>
      <c r="O10" s="3"/>
      <c r="P10" s="3"/>
      <c r="Q10" s="3"/>
      <c r="R10" s="3"/>
      <c r="S10" s="3"/>
      <c r="T10" s="3"/>
      <c r="U10" s="3"/>
      <c r="V10" s="3"/>
      <c r="W10" s="3"/>
      <c r="X10" s="3"/>
      <c r="Y10" s="3"/>
      <c r="Z10" s="3"/>
      <c r="AA10" s="3"/>
      <c r="AB10" s="3"/>
      <c r="AC10" s="3"/>
      <c r="AD10" s="3"/>
      <c r="AE10" s="3"/>
    </row>
    <row r="11" spans="1:31">
      <c r="A11" s="2" t="s">
        <v>893</v>
      </c>
      <c r="B11" s="106">
        <v>1038320278</v>
      </c>
      <c r="C11" s="106">
        <v>562393380</v>
      </c>
      <c r="D11" s="3"/>
      <c r="E11" s="2" t="s">
        <v>894</v>
      </c>
      <c r="F11" s="106">
        <v>0</v>
      </c>
      <c r="G11" s="106">
        <v>-528945</v>
      </c>
      <c r="H11" s="205"/>
      <c r="I11" s="3"/>
      <c r="J11" s="3"/>
      <c r="K11" s="3"/>
      <c r="L11" s="3"/>
      <c r="M11" s="3"/>
      <c r="N11" s="3"/>
      <c r="O11" s="3"/>
      <c r="P11" s="3"/>
      <c r="Q11" s="3"/>
      <c r="R11" s="3"/>
      <c r="S11" s="3"/>
      <c r="T11" s="3"/>
      <c r="U11" s="3"/>
      <c r="V11" s="3"/>
      <c r="W11" s="3"/>
      <c r="X11" s="3"/>
      <c r="Y11" s="3"/>
      <c r="Z11" s="3"/>
      <c r="AA11" s="3"/>
      <c r="AB11" s="3"/>
      <c r="AC11" s="3"/>
      <c r="AD11" s="3"/>
      <c r="AE11" s="3"/>
    </row>
    <row r="12" spans="1:31">
      <c r="A12" s="2" t="s">
        <v>895</v>
      </c>
      <c r="B12" s="106">
        <v>810255799</v>
      </c>
      <c r="C12" s="106">
        <v>168913718</v>
      </c>
      <c r="D12" s="3"/>
      <c r="E12" s="2" t="s">
        <v>896</v>
      </c>
      <c r="F12" s="820">
        <v>-269742</v>
      </c>
      <c r="G12" s="820">
        <v>0</v>
      </c>
      <c r="H12" s="205"/>
      <c r="I12" s="3"/>
      <c r="J12" s="3"/>
      <c r="K12" s="3"/>
      <c r="L12" s="3"/>
      <c r="M12" s="3"/>
      <c r="N12" s="3"/>
      <c r="O12" s="3"/>
      <c r="P12" s="3"/>
      <c r="Q12" s="3"/>
      <c r="R12" s="3"/>
      <c r="S12" s="3"/>
      <c r="T12" s="3"/>
      <c r="U12" s="3"/>
      <c r="V12" s="3"/>
      <c r="W12" s="3"/>
      <c r="X12" s="3"/>
      <c r="Y12" s="3"/>
      <c r="Z12" s="3"/>
      <c r="AA12" s="3"/>
      <c r="AB12" s="3"/>
      <c r="AC12" s="3"/>
      <c r="AD12" s="3"/>
      <c r="AE12" s="3"/>
    </row>
    <row r="13" spans="1:31" ht="15.75" thickBot="1">
      <c r="A13" s="99" t="s">
        <v>897</v>
      </c>
      <c r="B13" s="920">
        <f>SUM($B8:B12)</f>
        <v>26166606446</v>
      </c>
      <c r="C13" s="921">
        <f>SUM(C8:C12)</f>
        <v>46566407515</v>
      </c>
      <c r="D13" s="3"/>
      <c r="E13" s="99" t="s">
        <v>898</v>
      </c>
      <c r="F13" s="495">
        <f>SUM(F8:F12)</f>
        <v>-26454127989</v>
      </c>
      <c r="G13" s="495">
        <f>SUM(G8:G12)</f>
        <v>-41563291195</v>
      </c>
      <c r="H13" s="3"/>
      <c r="I13" s="3"/>
      <c r="J13" s="3"/>
      <c r="K13" s="3"/>
      <c r="L13" s="3"/>
      <c r="M13" s="3"/>
      <c r="N13" s="3"/>
      <c r="O13" s="3"/>
      <c r="P13" s="3"/>
      <c r="Q13" s="3"/>
      <c r="R13" s="3"/>
      <c r="S13" s="3"/>
      <c r="T13" s="3"/>
      <c r="U13" s="3"/>
      <c r="V13" s="3"/>
      <c r="W13" s="3"/>
      <c r="X13" s="3"/>
      <c r="Y13" s="3"/>
      <c r="Z13" s="3"/>
      <c r="AA13" s="3"/>
      <c r="AB13" s="3"/>
      <c r="AC13" s="3"/>
      <c r="AD13" s="3"/>
      <c r="AE13" s="3"/>
    </row>
    <row r="14" spans="1:31" ht="15.75" thickTop="1">
      <c r="A14" s="186"/>
      <c r="B14" s="184"/>
      <c r="C14" s="184"/>
      <c r="D14" s="3"/>
      <c r="E14"/>
      <c r="F14" s="472"/>
      <c r="G14"/>
      <c r="H14" s="3"/>
      <c r="I14" s="3"/>
      <c r="J14" s="3"/>
      <c r="K14" s="3"/>
      <c r="L14" s="3"/>
      <c r="M14" s="3"/>
      <c r="N14" s="3"/>
      <c r="O14" s="3"/>
      <c r="P14" s="3"/>
      <c r="Q14" s="3"/>
      <c r="R14" s="3"/>
      <c r="S14" s="3"/>
      <c r="T14" s="3"/>
      <c r="U14" s="3"/>
      <c r="V14" s="3"/>
      <c r="W14" s="3"/>
      <c r="X14" s="3"/>
      <c r="Y14" s="3"/>
      <c r="Z14" s="3"/>
      <c r="AA14" s="3"/>
      <c r="AB14" s="3"/>
      <c r="AC14" s="3"/>
      <c r="AD14" s="3"/>
      <c r="AE14" s="3"/>
    </row>
    <row r="15" spans="1:31">
      <c r="A15" s="186"/>
      <c r="B15" s="3"/>
      <c r="C15" s="3"/>
      <c r="D15" s="3"/>
      <c r="E15" s="563"/>
      <c r="F15" s="496"/>
      <c r="G15" s="496"/>
      <c r="H15" s="3"/>
      <c r="I15" s="3"/>
      <c r="J15" s="3"/>
      <c r="K15" s="3"/>
      <c r="L15" s="3"/>
      <c r="M15" s="3"/>
      <c r="N15" s="3"/>
      <c r="O15" s="3"/>
      <c r="P15" s="3"/>
      <c r="Q15" s="3"/>
      <c r="R15" s="3"/>
      <c r="S15" s="3"/>
      <c r="T15" s="3"/>
      <c r="U15" s="3"/>
      <c r="V15" s="3"/>
      <c r="W15" s="3"/>
      <c r="X15" s="3"/>
      <c r="Y15" s="3"/>
      <c r="Z15" s="3"/>
      <c r="AA15" s="3"/>
      <c r="AB15" s="3"/>
      <c r="AC15" s="3"/>
      <c r="AD15" s="3"/>
      <c r="AE15" s="3"/>
    </row>
    <row r="16" spans="1:31">
      <c r="A16" s="186"/>
      <c r="B16" s="3"/>
      <c r="C16" s="3"/>
      <c r="D16" s="3"/>
      <c r="E16" s="186"/>
      <c r="F16" s="184"/>
      <c r="G16" s="185"/>
      <c r="H16" s="3"/>
      <c r="I16" s="3"/>
      <c r="J16" s="3"/>
      <c r="K16" s="3"/>
      <c r="L16" s="3"/>
      <c r="M16" s="3"/>
      <c r="N16" s="3"/>
      <c r="O16" s="3"/>
      <c r="P16" s="3"/>
      <c r="Q16" s="3"/>
      <c r="R16" s="3"/>
      <c r="S16" s="3"/>
      <c r="T16" s="3"/>
      <c r="U16" s="3"/>
      <c r="V16" s="3"/>
      <c r="W16" s="3"/>
      <c r="X16" s="3"/>
      <c r="Y16" s="3"/>
      <c r="Z16" s="3"/>
      <c r="AA16" s="3"/>
      <c r="AB16" s="3"/>
      <c r="AC16" s="3"/>
      <c r="AD16" s="3"/>
      <c r="AE16" s="3"/>
    </row>
    <row r="17" spans="1:31" ht="16.5" customHeight="1">
      <c r="A17" s="221" t="s">
        <v>899</v>
      </c>
      <c r="B17" s="221"/>
      <c r="C17" s="221"/>
      <c r="D17" s="221"/>
      <c r="E17" s="221"/>
      <c r="F17" s="221"/>
      <c r="G17" s="221"/>
      <c r="H17" s="3"/>
      <c r="I17" s="3"/>
      <c r="J17" s="3"/>
      <c r="K17" s="3"/>
      <c r="L17" s="3"/>
      <c r="M17" s="3"/>
      <c r="N17" s="3"/>
      <c r="O17" s="3"/>
      <c r="P17" s="3"/>
      <c r="Q17" s="3"/>
      <c r="R17" s="3"/>
      <c r="S17" s="3"/>
      <c r="T17" s="3"/>
      <c r="U17" s="3"/>
      <c r="V17" s="3"/>
      <c r="W17" s="3"/>
      <c r="X17" s="3"/>
      <c r="Y17" s="3"/>
      <c r="Z17" s="3"/>
      <c r="AA17" s="3"/>
      <c r="AB17" s="3"/>
      <c r="AC17" s="3"/>
      <c r="AD17" s="3"/>
      <c r="AE17" s="3"/>
    </row>
    <row r="18" spans="1:31">
      <c r="A18" s="127"/>
      <c r="B18" s="127"/>
      <c r="C18" s="227" t="s">
        <v>69</v>
      </c>
      <c r="D18" s="127"/>
      <c r="E18" s="127"/>
      <c r="F18" s="127"/>
      <c r="G18" s="127"/>
      <c r="H18"/>
      <c r="I18" s="3"/>
      <c r="J18" s="3"/>
      <c r="K18" s="3"/>
      <c r="L18" s="3"/>
      <c r="M18" s="3"/>
      <c r="N18" s="3"/>
      <c r="O18" s="3"/>
      <c r="P18" s="3"/>
      <c r="Q18" s="3"/>
      <c r="R18" s="3"/>
      <c r="S18" s="3"/>
      <c r="T18" s="3"/>
      <c r="U18" s="3"/>
      <c r="V18" s="3"/>
      <c r="W18" s="3"/>
      <c r="X18" s="3"/>
      <c r="Y18" s="3"/>
      <c r="Z18" s="3"/>
      <c r="AA18" s="3"/>
      <c r="AB18" s="3"/>
      <c r="AC18" s="3"/>
      <c r="AD18" s="3"/>
      <c r="AE18" s="3"/>
    </row>
    <row r="19" spans="1:31">
      <c r="A19" s="127"/>
      <c r="B19" s="127"/>
      <c r="C19" s="227"/>
      <c r="D19" s="127"/>
      <c r="E19" s="127"/>
      <c r="F19" s="127"/>
      <c r="G19" s="127"/>
      <c r="H19"/>
      <c r="I19" s="3"/>
      <c r="J19" s="3"/>
      <c r="K19" s="3"/>
      <c r="L19" s="3"/>
      <c r="M19" s="3"/>
      <c r="N19" s="3"/>
      <c r="O19" s="3"/>
      <c r="P19" s="3"/>
      <c r="Q19" s="3"/>
      <c r="R19" s="3"/>
      <c r="S19" s="3"/>
      <c r="T19" s="3"/>
      <c r="U19" s="3"/>
      <c r="V19" s="3"/>
      <c r="W19" s="3"/>
      <c r="X19" s="3"/>
      <c r="Y19" s="3"/>
      <c r="Z19" s="3"/>
      <c r="AA19" s="3"/>
      <c r="AB19" s="3"/>
      <c r="AC19" s="3"/>
      <c r="AD19" s="3"/>
      <c r="AE19" s="3"/>
    </row>
    <row r="20" spans="1:31">
      <c r="A20" s="186" t="s">
        <v>900</v>
      </c>
      <c r="B20" s="3"/>
      <c r="C20" s="3"/>
      <c r="D20" s="3"/>
      <c r="E20" s="186" t="s">
        <v>901</v>
      </c>
      <c r="F20" s="184"/>
      <c r="G20" s="185"/>
      <c r="H20" s="3"/>
      <c r="I20" s="3"/>
      <c r="J20" s="3"/>
      <c r="K20" s="3"/>
      <c r="L20" s="3"/>
      <c r="M20" s="3"/>
      <c r="N20" s="3"/>
      <c r="O20" s="3"/>
      <c r="P20" s="3"/>
      <c r="Q20" s="3"/>
      <c r="R20" s="3"/>
      <c r="S20" s="3"/>
      <c r="T20" s="3"/>
      <c r="U20" s="3"/>
      <c r="V20" s="3"/>
      <c r="W20" s="3"/>
      <c r="X20" s="3"/>
      <c r="Y20" s="3"/>
      <c r="Z20" s="3"/>
      <c r="AA20" s="3"/>
      <c r="AB20" s="3"/>
      <c r="AC20" s="3"/>
      <c r="AD20" s="3"/>
      <c r="AE20" s="3"/>
    </row>
    <row r="21" spans="1:31" ht="12.75" customHeight="1">
      <c r="A21" s="394" t="s">
        <v>345</v>
      </c>
      <c r="B21" s="585">
        <v>44834</v>
      </c>
      <c r="C21" s="585">
        <v>44469</v>
      </c>
      <c r="D21" s="205"/>
      <c r="E21" s="394" t="s">
        <v>345</v>
      </c>
      <c r="F21" s="585">
        <v>44834</v>
      </c>
      <c r="G21" s="585">
        <v>44469</v>
      </c>
      <c r="H21" s="3"/>
      <c r="I21" s="3"/>
      <c r="J21" s="3"/>
      <c r="K21" s="3"/>
      <c r="L21" s="3"/>
      <c r="M21" s="3"/>
      <c r="N21" s="3"/>
      <c r="O21" s="3"/>
      <c r="P21" s="3"/>
      <c r="Q21" s="3"/>
      <c r="R21" s="3"/>
      <c r="S21" s="3"/>
      <c r="T21" s="3"/>
      <c r="U21" s="3"/>
      <c r="V21" s="3"/>
      <c r="W21" s="3"/>
      <c r="X21" s="3"/>
      <c r="Y21" s="3"/>
      <c r="Z21" s="3"/>
      <c r="AA21" s="3"/>
      <c r="AB21" s="3"/>
      <c r="AC21" s="3"/>
      <c r="AD21" s="3"/>
      <c r="AE21" s="3"/>
    </row>
    <row r="22" spans="1:31">
      <c r="A22" s="94" t="s">
        <v>902</v>
      </c>
      <c r="B22" s="95">
        <v>1057690959</v>
      </c>
      <c r="C22" s="95">
        <v>3825073849</v>
      </c>
      <c r="E22" s="94" t="s">
        <v>903</v>
      </c>
      <c r="F22" s="95">
        <v>-12526500</v>
      </c>
      <c r="G22" s="95">
        <v>-2983669</v>
      </c>
    </row>
    <row r="23" spans="1:31">
      <c r="A23" s="94" t="s">
        <v>904</v>
      </c>
      <c r="B23" s="95">
        <v>688097484</v>
      </c>
      <c r="C23" s="95">
        <v>1643108559</v>
      </c>
      <c r="E23" s="94" t="s">
        <v>905</v>
      </c>
      <c r="F23" s="95">
        <v>-346138851</v>
      </c>
      <c r="G23" s="95">
        <v>-5787085778</v>
      </c>
    </row>
    <row r="24" spans="1:31">
      <c r="A24" s="94" t="s">
        <v>906</v>
      </c>
      <c r="B24" s="95">
        <v>0</v>
      </c>
      <c r="C24" s="95">
        <v>163060047</v>
      </c>
      <c r="E24" s="94" t="s">
        <v>907</v>
      </c>
      <c r="F24" s="95">
        <v>-691116510</v>
      </c>
      <c r="G24" s="95">
        <v>-7308252600</v>
      </c>
    </row>
    <row r="25" spans="1:31">
      <c r="A25" s="94" t="s">
        <v>908</v>
      </c>
      <c r="B25" s="95">
        <v>54514170</v>
      </c>
      <c r="C25" s="95">
        <v>259971568</v>
      </c>
      <c r="E25" s="94" t="s">
        <v>909</v>
      </c>
      <c r="F25" s="95">
        <v>-1320637298</v>
      </c>
      <c r="G25" s="95">
        <v>-294132037</v>
      </c>
    </row>
    <row r="26" spans="1:31" ht="15.75" thickBot="1">
      <c r="A26" s="94" t="s">
        <v>910</v>
      </c>
      <c r="B26" s="569">
        <v>1767029778</v>
      </c>
      <c r="C26" s="569">
        <v>6549977438</v>
      </c>
      <c r="E26" s="99" t="s">
        <v>911</v>
      </c>
      <c r="F26" s="922">
        <f>SUM(F22:F25)</f>
        <v>-2370419159</v>
      </c>
      <c r="G26" s="922">
        <f>SUM(G22:G25)</f>
        <v>-13392454084</v>
      </c>
    </row>
    <row r="27" spans="1:31" ht="16.5" thickTop="1" thickBot="1">
      <c r="A27" s="8" t="s">
        <v>912</v>
      </c>
      <c r="B27" s="808">
        <f>SUM(B22:B26)</f>
        <v>3567332391</v>
      </c>
      <c r="C27" s="808">
        <f>SUM(C22:C26)</f>
        <v>12441191461</v>
      </c>
      <c r="E27" s="99"/>
      <c r="F27" s="821"/>
      <c r="G27" s="821"/>
    </row>
    <row r="28" spans="1:31" ht="15.75" thickTop="1">
      <c r="A28" s="8"/>
      <c r="B28" s="143"/>
      <c r="C28" s="143"/>
      <c r="E28" s="99"/>
      <c r="F28" s="563"/>
      <c r="G28" s="563"/>
      <c r="H28"/>
    </row>
    <row r="29" spans="1:31">
      <c r="A29" s="8"/>
      <c r="B29" s="143"/>
      <c r="C29" s="143"/>
      <c r="E29" s="94"/>
      <c r="F29" s="95"/>
      <c r="G29" s="95"/>
    </row>
    <row r="30" spans="1:31">
      <c r="D30" s="3"/>
      <c r="E30" s="94"/>
      <c r="F30" s="98"/>
      <c r="G30" s="95"/>
      <c r="H30" s="3"/>
      <c r="I30" s="3"/>
      <c r="J30" s="3"/>
      <c r="K30" s="3"/>
      <c r="L30" s="3"/>
      <c r="M30" s="3"/>
      <c r="N30" s="3"/>
      <c r="O30" s="3"/>
      <c r="P30" s="3"/>
      <c r="Q30" s="3"/>
      <c r="R30" s="3"/>
      <c r="S30" s="3"/>
      <c r="T30" s="3"/>
      <c r="U30" s="3"/>
      <c r="V30" s="3"/>
      <c r="W30" s="3"/>
      <c r="X30" s="3"/>
      <c r="Y30" s="3"/>
      <c r="Z30" s="3"/>
      <c r="AA30" s="3"/>
      <c r="AB30" s="3"/>
      <c r="AC30" s="3"/>
      <c r="AD30" s="3"/>
      <c r="AE30" s="3"/>
    </row>
    <row r="31" spans="1:31">
      <c r="A31" s="94"/>
      <c r="B31" s="95"/>
      <c r="C31" s="95"/>
      <c r="D31" s="3"/>
      <c r="E31" s="99"/>
      <c r="F31" s="563"/>
      <c r="G31" s="563"/>
      <c r="H31" s="3"/>
      <c r="I31" s="3"/>
      <c r="J31" s="3"/>
      <c r="K31" s="3"/>
      <c r="L31" s="3"/>
      <c r="M31" s="3"/>
      <c r="N31" s="3"/>
      <c r="O31" s="3"/>
      <c r="P31" s="3"/>
      <c r="Q31" s="3"/>
      <c r="R31" s="3"/>
      <c r="S31" s="3"/>
      <c r="T31" s="3"/>
      <c r="U31" s="3"/>
      <c r="V31" s="3"/>
      <c r="W31" s="3"/>
      <c r="X31" s="3"/>
      <c r="Y31" s="3"/>
      <c r="Z31" s="3"/>
      <c r="AA31" s="3"/>
      <c r="AB31" s="3"/>
      <c r="AC31" s="3"/>
      <c r="AD31" s="3"/>
      <c r="AE31" s="3"/>
    </row>
    <row r="32" spans="1:31">
      <c r="A32" s="8"/>
      <c r="B32" s="143"/>
      <c r="C32" s="143"/>
      <c r="D32" s="3"/>
      <c r="E32" s="99"/>
      <c r="F32" s="143"/>
      <c r="G32" s="143"/>
      <c r="H32" s="3"/>
      <c r="I32" s="3"/>
      <c r="J32" s="3"/>
      <c r="K32" s="3"/>
      <c r="L32" s="3"/>
      <c r="M32" s="3"/>
      <c r="N32" s="3"/>
      <c r="O32" s="3"/>
      <c r="P32" s="3"/>
      <c r="Q32" s="3"/>
      <c r="R32" s="3"/>
      <c r="S32" s="3"/>
      <c r="T32" s="3"/>
      <c r="U32" s="3"/>
      <c r="V32" s="3"/>
      <c r="W32" s="3"/>
      <c r="X32" s="3"/>
      <c r="Y32" s="3"/>
      <c r="Z32" s="3"/>
      <c r="AA32" s="3"/>
      <c r="AB32" s="3"/>
      <c r="AC32" s="3"/>
      <c r="AD32" s="3"/>
      <c r="AE32" s="3"/>
    </row>
    <row r="33" spans="1:31">
      <c r="A33"/>
      <c r="B33" s="6"/>
      <c r="C33" s="6"/>
      <c r="D33" s="3"/>
      <c r="E33" s="3"/>
      <c r="F33" s="205"/>
      <c r="G33" s="205"/>
      <c r="H33" s="3"/>
      <c r="I33" s="3"/>
      <c r="J33" s="3"/>
      <c r="K33" s="3"/>
      <c r="L33" s="3"/>
      <c r="M33" s="3"/>
      <c r="N33" s="3"/>
      <c r="O33" s="3"/>
      <c r="P33" s="3"/>
      <c r="Q33" s="3"/>
      <c r="R33" s="3"/>
      <c r="S33" s="3"/>
      <c r="T33" s="3"/>
      <c r="U33" s="3"/>
      <c r="V33" s="3"/>
      <c r="W33" s="3"/>
      <c r="X33" s="3"/>
      <c r="Y33" s="3"/>
      <c r="Z33" s="3"/>
      <c r="AA33" s="3"/>
      <c r="AB33" s="3"/>
      <c r="AC33" s="3"/>
      <c r="AD33" s="3"/>
      <c r="AE33" s="3"/>
    </row>
    <row r="34" spans="1:31">
      <c r="A34" s="94"/>
      <c r="B34"/>
      <c r="C34"/>
      <c r="D34" s="3"/>
      <c r="E34" s="94"/>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c r="D35" s="3"/>
      <c r="E35" s="94"/>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c r="D36" s="3"/>
      <c r="E36" s="94"/>
      <c r="F36" s="205"/>
      <c r="G36" s="3"/>
      <c r="H36" s="3"/>
      <c r="I36" s="3"/>
      <c r="J36" s="3"/>
      <c r="K36" s="3"/>
      <c r="L36" s="3"/>
      <c r="M36" s="3"/>
      <c r="N36" s="3"/>
      <c r="O36" s="3"/>
      <c r="P36" s="3"/>
      <c r="Q36" s="3"/>
      <c r="R36" s="3"/>
      <c r="S36" s="3"/>
      <c r="T36" s="3"/>
      <c r="U36" s="3"/>
      <c r="V36" s="3"/>
      <c r="W36" s="3"/>
      <c r="X36" s="3"/>
      <c r="Y36" s="3"/>
      <c r="Z36" s="3"/>
      <c r="AA36" s="3"/>
      <c r="AB36" s="3"/>
      <c r="AC36" s="3"/>
      <c r="AD36" s="3"/>
      <c r="AE36" s="3"/>
    </row>
    <row r="37" spans="1:31">
      <c r="D37" s="3"/>
      <c r="E37" s="94"/>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c r="E38" s="99"/>
      <c r="F38" s="563"/>
      <c r="G38" s="563"/>
    </row>
  </sheetData>
  <hyperlinks>
    <hyperlink ref="C18" location="ER!A1" display="ER" xr:uid="{00000000-0004-0000-2300-000001000000}"/>
    <hyperlink ref="B1" location="ER!A1" display="ER" xr:uid="{3602D512-B7E4-49E5-97D1-78ECBCF3EA6E}"/>
  </hyperlinks>
  <pageMargins left="0.7" right="0.7" top="0.75" bottom="0.75" header="0.3" footer="0.3"/>
  <pageSetup orientation="portrait" r:id="rId1"/>
  <ignoredErrors>
    <ignoredError sqref="B13:C13 B27:C27 G13 F26:G26"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5"/>
  <dimension ref="A1:AB11"/>
  <sheetViews>
    <sheetView showGridLines="0" workbookViewId="0">
      <selection activeCell="A8" sqref="A8"/>
    </sheetView>
  </sheetViews>
  <sheetFormatPr baseColWidth="10" defaultColWidth="11.42578125" defaultRowHeight="12"/>
  <cols>
    <col min="1" max="1" width="32.85546875" style="94" customWidth="1"/>
    <col min="2" max="2" width="14.28515625" style="94" customWidth="1"/>
    <col min="3" max="3" width="15.42578125" style="94" customWidth="1"/>
    <col min="4" max="25" width="11.42578125" style="94"/>
    <col min="26" max="16384" width="11.42578125" style="6"/>
  </cols>
  <sheetData>
    <row r="1" spans="1:28" ht="17.25" customHeight="1">
      <c r="A1" s="217" t="str">
        <f>Indice!C1</f>
        <v>NICOLAS GONZALEZ ODDONE S.A.E.C.A</v>
      </c>
      <c r="B1" s="632" t="s">
        <v>69</v>
      </c>
      <c r="C1" s="227"/>
      <c r="E1" s="97"/>
    </row>
    <row r="3" spans="1:28" ht="17.25" customHeight="1">
      <c r="A3" s="221" t="s">
        <v>913</v>
      </c>
      <c r="B3" s="217"/>
      <c r="C3" s="217"/>
      <c r="D3" s="217"/>
      <c r="E3" s="217"/>
      <c r="F3" s="178"/>
      <c r="G3" s="175"/>
      <c r="H3" s="177"/>
      <c r="Z3" s="94"/>
      <c r="AA3" s="94"/>
      <c r="AB3" s="94"/>
    </row>
    <row r="4" spans="1:28" ht="15.75" customHeight="1">
      <c r="A4" s="191" t="s">
        <v>792</v>
      </c>
      <c r="B4" s="59"/>
      <c r="C4" s="187"/>
      <c r="D4" s="187"/>
      <c r="E4" s="187"/>
      <c r="F4" s="178"/>
      <c r="G4" s="175"/>
      <c r="H4" s="177"/>
      <c r="Z4" s="94"/>
      <c r="AA4" s="94"/>
      <c r="AB4" s="94"/>
    </row>
    <row r="5" spans="1:28" ht="20.25" customHeight="1">
      <c r="A5" s="268" t="s">
        <v>620</v>
      </c>
      <c r="B5" s="59"/>
      <c r="C5" s="187"/>
      <c r="D5" s="187"/>
      <c r="E5" s="187"/>
      <c r="F5" s="178"/>
      <c r="G5" s="175"/>
      <c r="H5" s="177"/>
      <c r="Z5" s="94"/>
      <c r="AA5" s="94"/>
      <c r="AB5" s="94"/>
    </row>
    <row r="6" spans="1:28" ht="12.75">
      <c r="A6" s="916" t="s">
        <v>914</v>
      </c>
      <c r="B6" s="582">
        <v>44834</v>
      </c>
      <c r="C6" s="582">
        <v>44469</v>
      </c>
      <c r="D6" s="177"/>
      <c r="E6" s="177"/>
      <c r="F6" s="178"/>
      <c r="G6" s="175"/>
      <c r="H6" s="177"/>
      <c r="Z6" s="94"/>
      <c r="AA6" s="94"/>
      <c r="AB6" s="94"/>
    </row>
    <row r="7" spans="1:28" ht="15" customHeight="1">
      <c r="A7" s="178" t="s">
        <v>915</v>
      </c>
      <c r="B7" s="189"/>
      <c r="C7" s="189"/>
      <c r="D7" s="177"/>
      <c r="E7" s="177"/>
      <c r="F7" s="178"/>
      <c r="G7" s="175"/>
      <c r="H7" s="177"/>
      <c r="Z7" s="94"/>
      <c r="AA7" s="94"/>
      <c r="AB7" s="94"/>
    </row>
    <row r="8" spans="1:28" ht="15" customHeight="1">
      <c r="A8" s="178" t="s">
        <v>915</v>
      </c>
      <c r="B8" s="189"/>
      <c r="C8" s="189"/>
      <c r="D8" s="177"/>
      <c r="E8" s="177"/>
      <c r="F8" s="178"/>
      <c r="G8" s="175"/>
      <c r="H8" s="177"/>
      <c r="Z8" s="94"/>
      <c r="AA8" s="94"/>
      <c r="AB8" s="94"/>
    </row>
    <row r="9" spans="1:28" ht="14.25" customHeight="1">
      <c r="A9" s="178" t="s">
        <v>916</v>
      </c>
      <c r="B9" s="189"/>
      <c r="C9" s="189"/>
      <c r="D9" s="177"/>
      <c r="E9" s="177"/>
      <c r="F9" s="178"/>
      <c r="G9" s="175"/>
      <c r="H9" s="177"/>
      <c r="Z9" s="94"/>
      <c r="AA9" s="94"/>
      <c r="AB9" s="94"/>
    </row>
    <row r="10" spans="1:28" ht="12.75" thickBot="1">
      <c r="A10" s="179" t="s">
        <v>166</v>
      </c>
      <c r="B10" s="923">
        <f>SUM(B7:B9)</f>
        <v>0</v>
      </c>
      <c r="C10" s="923">
        <f>SUM(C7:C9)</f>
        <v>0</v>
      </c>
      <c r="D10" s="177"/>
      <c r="E10" s="177"/>
      <c r="F10" s="178"/>
      <c r="G10" s="175"/>
      <c r="H10" s="177"/>
      <c r="Z10" s="94"/>
      <c r="AA10" s="94"/>
      <c r="AB10" s="94"/>
    </row>
    <row r="11" spans="1:28" ht="12.75" thickTop="1">
      <c r="A11" s="94" t="s">
        <v>917</v>
      </c>
    </row>
  </sheetData>
  <hyperlinks>
    <hyperlink ref="B1" location="ER!A1" display="ER" xr:uid="{4721A9E2-2A11-4238-B663-382B6C3DE7E8}"/>
  </hyperlinks>
  <pageMargins left="0.7" right="0.7" top="0.75" bottom="0.75" header="0.3" footer="0.3"/>
  <pageSetup paperSize="9" orientation="portrait" r:id="rId1"/>
  <ignoredErrors>
    <ignoredError sqref="B10:C10"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6"/>
  <dimension ref="A1:V13"/>
  <sheetViews>
    <sheetView showGridLines="0" workbookViewId="0">
      <selection activeCell="B1" sqref="B1"/>
    </sheetView>
  </sheetViews>
  <sheetFormatPr baseColWidth="10" defaultColWidth="11.42578125" defaultRowHeight="15"/>
  <cols>
    <col min="1" max="1" width="38" style="9" customWidth="1"/>
    <col min="2" max="2" width="18.42578125" style="9" customWidth="1"/>
    <col min="3" max="3" width="17.7109375" style="9" customWidth="1"/>
    <col min="4" max="4" width="0.28515625" style="9" customWidth="1"/>
    <col min="5" max="5" width="11.42578125" style="9" hidden="1" customWidth="1"/>
    <col min="6" max="22" width="11.42578125" style="9"/>
  </cols>
  <sheetData>
    <row r="1" spans="1:8" ht="18.75" customHeight="1">
      <c r="A1" s="217" t="str">
        <f>Indice!C1</f>
        <v>NICOLAS GONZALEZ ODDONE S.A.E.C.A</v>
      </c>
      <c r="B1" s="640" t="s">
        <v>69</v>
      </c>
      <c r="C1" s="16"/>
      <c r="E1" s="16"/>
    </row>
    <row r="3" spans="1:8" ht="17.25" customHeight="1">
      <c r="A3" s="221" t="s">
        <v>918</v>
      </c>
      <c r="B3" s="221"/>
      <c r="C3" s="221"/>
      <c r="D3" s="53"/>
      <c r="E3" s="53"/>
      <c r="F3" s="20"/>
      <c r="G3" s="23"/>
      <c r="H3" s="21"/>
    </row>
    <row r="4" spans="1:8">
      <c r="A4" s="1002" t="s">
        <v>792</v>
      </c>
      <c r="B4" s="1002"/>
      <c r="C4" s="21"/>
      <c r="D4" s="21"/>
      <c r="E4" s="21"/>
      <c r="F4" s="20"/>
      <c r="G4" s="23"/>
      <c r="H4" s="21"/>
    </row>
    <row r="5" spans="1:8" ht="23.25">
      <c r="A5" s="268" t="s">
        <v>620</v>
      </c>
      <c r="B5" s="1003"/>
      <c r="C5" s="1003"/>
      <c r="D5" s="21"/>
      <c r="E5" s="21"/>
      <c r="F5" s="20"/>
      <c r="G5" s="23"/>
      <c r="H5" s="21"/>
    </row>
    <row r="6" spans="1:8">
      <c r="A6" s="20"/>
      <c r="D6" s="21"/>
      <c r="E6" s="21"/>
      <c r="F6" s="20"/>
      <c r="G6" s="23"/>
      <c r="H6" s="21"/>
    </row>
    <row r="7" spans="1:8" ht="12" customHeight="1">
      <c r="A7" s="24" t="s">
        <v>84</v>
      </c>
      <c r="B7" s="585">
        <v>44834</v>
      </c>
      <c r="C7" s="585">
        <v>44469</v>
      </c>
      <c r="D7" s="21"/>
      <c r="E7" s="21"/>
      <c r="F7" s="20"/>
      <c r="G7" s="23"/>
      <c r="H7" s="21"/>
    </row>
    <row r="8" spans="1:8">
      <c r="A8" s="20" t="s">
        <v>919</v>
      </c>
      <c r="B8" s="351"/>
      <c r="C8" s="351"/>
      <c r="D8" s="21"/>
      <c r="E8" s="21"/>
      <c r="F8" s="20"/>
      <c r="G8" s="23"/>
      <c r="H8" s="21"/>
    </row>
    <row r="9" spans="1:8">
      <c r="A9" s="20"/>
      <c r="B9" s="351"/>
      <c r="C9" s="351"/>
      <c r="D9" s="21"/>
      <c r="E9" s="21"/>
      <c r="F9" s="20"/>
      <c r="G9" s="23"/>
      <c r="H9" s="21"/>
    </row>
    <row r="10" spans="1:8" ht="6" customHeight="1">
      <c r="A10" s="20"/>
      <c r="B10" s="352"/>
      <c r="C10" s="351"/>
      <c r="D10" s="21"/>
      <c r="E10" s="21"/>
      <c r="F10" s="20"/>
      <c r="G10" s="23"/>
      <c r="H10" s="21"/>
    </row>
    <row r="11" spans="1:8" ht="6" customHeight="1">
      <c r="A11" s="20"/>
      <c r="B11" s="352"/>
      <c r="C11" s="351"/>
      <c r="D11" s="21"/>
      <c r="E11" s="21"/>
      <c r="F11" s="20"/>
      <c r="G11" s="23"/>
      <c r="H11" s="21"/>
    </row>
    <row r="12" spans="1:8">
      <c r="A12" s="24" t="s">
        <v>166</v>
      </c>
      <c r="B12" s="924">
        <v>0</v>
      </c>
      <c r="C12" s="924">
        <v>0</v>
      </c>
      <c r="D12" s="21"/>
      <c r="E12" s="21"/>
      <c r="F12" s="20"/>
      <c r="G12" s="23"/>
      <c r="H12" s="21"/>
    </row>
    <row r="13" spans="1:8">
      <c r="A13" s="20"/>
      <c r="B13" s="22"/>
      <c r="C13" s="21"/>
      <c r="D13" s="21"/>
      <c r="E13" s="21"/>
      <c r="F13" s="20"/>
      <c r="G13" s="23"/>
      <c r="H13" s="21"/>
    </row>
  </sheetData>
  <mergeCells count="2">
    <mergeCell ref="A4:B4"/>
    <mergeCell ref="B5:C5"/>
  </mergeCells>
  <hyperlinks>
    <hyperlink ref="B1" location="ER!A1" display="ER" xr:uid="{1B921F63-D0C2-47CF-90BC-B5B6E3E2C115}"/>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7"/>
  <dimension ref="A1:Z17"/>
  <sheetViews>
    <sheetView showGridLines="0" workbookViewId="0"/>
  </sheetViews>
  <sheetFormatPr baseColWidth="10" defaultColWidth="11.42578125" defaultRowHeight="12"/>
  <cols>
    <col min="1" max="1" width="35.140625" style="94" customWidth="1"/>
    <col min="2" max="2" width="16" style="94" customWidth="1"/>
    <col min="3" max="3" width="15.7109375" style="94" customWidth="1"/>
    <col min="4" max="4" width="1.7109375" style="94" customWidth="1"/>
    <col min="5" max="5" width="11.42578125" style="94" hidden="1" customWidth="1"/>
    <col min="6" max="26" width="11.42578125" style="94"/>
    <col min="27" max="16384" width="11.42578125" style="6"/>
  </cols>
  <sheetData>
    <row r="1" spans="1:7" ht="18" customHeight="1">
      <c r="A1" s="217" t="str">
        <f>Indice!C1</f>
        <v>NICOLAS GONZALEZ ODDONE S.A.E.C.A</v>
      </c>
      <c r="B1" s="632" t="s">
        <v>69</v>
      </c>
      <c r="C1" s="227"/>
      <c r="E1" s="97"/>
    </row>
    <row r="3" spans="1:7" ht="16.5" customHeight="1">
      <c r="A3" s="225" t="s">
        <v>920</v>
      </c>
      <c r="B3" s="225"/>
      <c r="C3" s="225"/>
      <c r="D3" s="225"/>
      <c r="E3" s="225"/>
      <c r="F3" s="178"/>
      <c r="G3" s="175"/>
    </row>
    <row r="4" spans="1:7">
      <c r="A4" s="178" t="s">
        <v>113</v>
      </c>
      <c r="B4" s="176"/>
      <c r="C4" s="177"/>
      <c r="D4" s="177"/>
      <c r="E4" s="177"/>
      <c r="F4" s="178"/>
      <c r="G4" s="175"/>
    </row>
    <row r="5" spans="1:7">
      <c r="A5" s="178"/>
      <c r="B5" s="1004"/>
      <c r="C5" s="1004"/>
      <c r="D5" s="177"/>
      <c r="E5" s="177"/>
      <c r="F5" s="178"/>
      <c r="G5" s="175"/>
    </row>
    <row r="6" spans="1:7" ht="12" customHeight="1">
      <c r="A6" s="908" t="s">
        <v>345</v>
      </c>
      <c r="B6" s="585">
        <v>44834</v>
      </c>
      <c r="C6" s="585">
        <v>44469</v>
      </c>
      <c r="D6" s="177"/>
      <c r="E6" s="177"/>
      <c r="F6" s="178"/>
      <c r="G6" s="175"/>
    </row>
    <row r="7" spans="1:7">
      <c r="A7" s="178" t="s">
        <v>921</v>
      </c>
      <c r="B7" s="189">
        <v>7054123076</v>
      </c>
      <c r="C7" s="189">
        <v>7816774311</v>
      </c>
      <c r="D7" s="177"/>
      <c r="E7" s="177"/>
      <c r="F7" s="178"/>
      <c r="G7" s="175"/>
    </row>
    <row r="8" spans="1:7" hidden="1">
      <c r="A8" s="178" t="s">
        <v>922</v>
      </c>
      <c r="B8" s="189">
        <v>0</v>
      </c>
      <c r="C8" s="189">
        <v>0</v>
      </c>
      <c r="D8" s="177"/>
      <c r="E8" s="177"/>
      <c r="F8" s="178"/>
      <c r="G8" s="175"/>
    </row>
    <row r="9" spans="1:7" ht="12.75" thickBot="1">
      <c r="A9" s="179" t="s">
        <v>166</v>
      </c>
      <c r="B9" s="920">
        <f>SUM($B7:B8)</f>
        <v>7054123076</v>
      </c>
      <c r="C9" s="920">
        <f>SUM($C7:C8)</f>
        <v>7816774311</v>
      </c>
      <c r="D9" s="177"/>
      <c r="E9" s="177"/>
      <c r="F9" s="178"/>
      <c r="G9" s="175"/>
    </row>
    <row r="10" spans="1:7" ht="12.75" thickTop="1">
      <c r="A10" s="178"/>
      <c r="B10" s="294"/>
      <c r="C10" s="295"/>
      <c r="D10" s="177"/>
      <c r="E10" s="177"/>
      <c r="F10" s="178"/>
      <c r="G10" s="175"/>
    </row>
    <row r="17" spans="2:2">
      <c r="B17" s="95"/>
    </row>
  </sheetData>
  <mergeCells count="1">
    <mergeCell ref="B5:C5"/>
  </mergeCells>
  <hyperlinks>
    <hyperlink ref="B1" location="ER!A1" display="ER" xr:uid="{0F323118-64F0-42C6-A220-C0A0E7EAE9CD}"/>
  </hyperlinks>
  <pageMargins left="0.7" right="0.7" top="0.75" bottom="0.75" header="0.3" footer="0.3"/>
  <ignoredErrors>
    <ignoredError sqref="B9:C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A48"/>
  <sheetViews>
    <sheetView showGridLines="0" zoomScale="80" zoomScaleNormal="80" workbookViewId="0">
      <selection activeCell="A47" sqref="A47"/>
    </sheetView>
  </sheetViews>
  <sheetFormatPr baseColWidth="10" defaultColWidth="11.42578125" defaultRowHeight="12.75"/>
  <cols>
    <col min="1" max="1" width="42.7109375" style="1" customWidth="1"/>
    <col min="2" max="2" width="0.85546875" style="1" customWidth="1"/>
    <col min="3" max="3" width="23" style="790" customWidth="1"/>
    <col min="4" max="4" width="1.140625" style="266" customWidth="1"/>
    <col min="5" max="5" width="19.85546875" style="289" customWidth="1"/>
    <col min="6" max="6" width="1.7109375" style="289" customWidth="1"/>
    <col min="7" max="7" width="19.42578125" style="266" customWidth="1"/>
    <col min="8" max="8" width="0.85546875" style="289" customWidth="1"/>
    <col min="9" max="9" width="18.85546875" style="266" customWidth="1"/>
    <col min="10" max="10" width="1" style="289" customWidth="1"/>
    <col min="11" max="11" width="20" style="266" customWidth="1"/>
    <col min="12" max="12" width="0.85546875" style="266" customWidth="1"/>
    <col min="13" max="13" width="20" style="266" customWidth="1"/>
    <col min="14" max="14" width="3.42578125" style="289" customWidth="1"/>
    <col min="15" max="15" width="18.42578125" style="266" customWidth="1"/>
    <col min="16" max="16" width="0.7109375" style="289" customWidth="1"/>
    <col min="17" max="17" width="22.42578125" style="289" customWidth="1"/>
    <col min="18" max="19" width="0.85546875" style="289" customWidth="1"/>
    <col min="20" max="20" width="19.7109375" style="266" customWidth="1"/>
    <col min="21" max="21" width="1" style="286" customWidth="1"/>
    <col min="22" max="22" width="19.140625" style="282" customWidth="1"/>
    <col min="23" max="23" width="0.85546875" style="1" customWidth="1"/>
    <col min="24" max="24" width="0.140625" style="1" hidden="1" customWidth="1"/>
    <col min="25" max="25" width="22.42578125" style="6" customWidth="1"/>
    <col min="26" max="26" width="17.85546875" style="1" customWidth="1"/>
    <col min="27" max="27" width="14.5703125" style="1" bestFit="1" customWidth="1"/>
    <col min="28" max="16384" width="11.42578125" style="1"/>
  </cols>
  <sheetData>
    <row r="1" spans="1:26" ht="26.25" customHeight="1">
      <c r="A1" s="960" t="str">
        <f>Indice!C1</f>
        <v>NICOLAS GONZALEZ ODDONE S.A.E.C.A</v>
      </c>
      <c r="B1" s="960"/>
      <c r="C1" s="960"/>
      <c r="D1" s="960"/>
      <c r="E1" s="960"/>
      <c r="I1" s="301" t="s">
        <v>110</v>
      </c>
    </row>
    <row r="3" spans="1:26">
      <c r="A3" s="6"/>
      <c r="B3" s="6"/>
      <c r="C3" s="782"/>
      <c r="D3" s="213"/>
      <c r="E3" s="302"/>
      <c r="F3" s="302"/>
      <c r="G3" s="213"/>
      <c r="H3" s="302"/>
      <c r="I3" s="213"/>
      <c r="J3" s="302"/>
      <c r="K3" s="213"/>
      <c r="L3" s="213"/>
      <c r="M3" s="213"/>
      <c r="N3" s="302"/>
      <c r="O3" s="213"/>
      <c r="P3" s="302"/>
      <c r="Q3" s="302"/>
      <c r="R3" s="302"/>
      <c r="S3" s="302"/>
      <c r="T3" s="213"/>
      <c r="W3" s="281"/>
    </row>
    <row r="4" spans="1:26" ht="18">
      <c r="A4" s="6"/>
      <c r="B4" s="82"/>
      <c r="C4" s="165"/>
      <c r="D4" s="82"/>
      <c r="E4" s="82"/>
      <c r="F4" s="82"/>
      <c r="G4" s="721" t="s">
        <v>152</v>
      </c>
      <c r="H4" s="721"/>
      <c r="I4" s="721"/>
      <c r="J4" s="721"/>
      <c r="K4" s="721"/>
      <c r="L4" s="82"/>
      <c r="M4" s="82"/>
      <c r="N4" s="82"/>
      <c r="O4" s="82"/>
      <c r="P4" s="82"/>
      <c r="Q4" s="82"/>
      <c r="R4" s="82"/>
      <c r="S4" s="82"/>
      <c r="T4" s="82"/>
      <c r="U4" s="288"/>
      <c r="W4" s="281"/>
    </row>
    <row r="5" spans="1:26" ht="18">
      <c r="A5" s="82"/>
      <c r="B5" s="82"/>
      <c r="C5" s="165"/>
      <c r="D5" s="82"/>
      <c r="E5" s="82"/>
      <c r="F5" s="82"/>
      <c r="G5" s="721" t="s">
        <v>153</v>
      </c>
      <c r="H5" s="721"/>
      <c r="I5" s="721"/>
      <c r="J5" s="721"/>
      <c r="K5" s="721"/>
      <c r="L5" s="82"/>
      <c r="M5" s="82"/>
      <c r="N5" s="82"/>
      <c r="O5" s="82"/>
      <c r="P5" s="82"/>
      <c r="Q5" s="82"/>
      <c r="R5" s="82"/>
      <c r="S5" s="82"/>
      <c r="T5" s="82"/>
      <c r="U5" s="288"/>
      <c r="W5" s="281"/>
    </row>
    <row r="6" spans="1:26" ht="14.25">
      <c r="A6" s="966" t="s">
        <v>154</v>
      </c>
      <c r="B6" s="966"/>
      <c r="C6" s="966"/>
      <c r="D6" s="966"/>
      <c r="E6" s="966"/>
      <c r="F6" s="966"/>
      <c r="G6" s="966"/>
      <c r="H6" s="966"/>
      <c r="I6" s="966"/>
      <c r="J6" s="966"/>
      <c r="K6" s="966"/>
      <c r="L6" s="966"/>
      <c r="M6" s="966"/>
      <c r="N6" s="966"/>
      <c r="O6" s="966"/>
      <c r="P6" s="966"/>
      <c r="Q6" s="966"/>
      <c r="R6" s="966"/>
      <c r="S6" s="966"/>
      <c r="T6" s="966"/>
      <c r="U6" s="292"/>
      <c r="W6" s="281"/>
    </row>
    <row r="7" spans="1:26" ht="14.25">
      <c r="A7" s="966" t="s">
        <v>155</v>
      </c>
      <c r="B7" s="966"/>
      <c r="C7" s="966"/>
      <c r="D7" s="966"/>
      <c r="E7" s="966"/>
      <c r="F7" s="966"/>
      <c r="G7" s="966"/>
      <c r="H7" s="966"/>
      <c r="I7" s="966"/>
      <c r="J7" s="966"/>
      <c r="K7" s="966"/>
      <c r="L7" s="966"/>
      <c r="M7" s="966"/>
      <c r="N7" s="966"/>
      <c r="O7" s="966"/>
      <c r="P7" s="966"/>
      <c r="Q7" s="966"/>
      <c r="R7" s="966"/>
      <c r="S7" s="966"/>
      <c r="T7" s="966"/>
      <c r="U7" s="292"/>
      <c r="W7" s="281"/>
    </row>
    <row r="8" spans="1:26" ht="14.25">
      <c r="A8" s="292"/>
      <c r="B8" s="292"/>
      <c r="C8" s="783"/>
      <c r="D8" s="292"/>
      <c r="E8" s="292"/>
      <c r="F8" s="292"/>
      <c r="G8" s="292"/>
      <c r="H8" s="292"/>
      <c r="I8" s="292"/>
      <c r="J8" s="292"/>
      <c r="K8" s="292"/>
      <c r="L8" s="292"/>
      <c r="M8" s="292"/>
      <c r="N8" s="292"/>
      <c r="O8" s="292"/>
      <c r="P8" s="292"/>
      <c r="Q8" s="292"/>
      <c r="R8" s="292"/>
      <c r="S8" s="292"/>
      <c r="T8" s="292"/>
      <c r="U8" s="292"/>
      <c r="W8" s="281"/>
    </row>
    <row r="9" spans="1:26">
      <c r="A9" s="164"/>
      <c r="B9" s="164"/>
      <c r="C9" s="158"/>
      <c r="D9" s="164"/>
      <c r="E9" s="164"/>
      <c r="F9" s="164"/>
      <c r="G9" s="164"/>
      <c r="H9" s="164"/>
      <c r="I9" s="164"/>
      <c r="J9" s="164"/>
      <c r="K9" s="164"/>
      <c r="L9" s="164"/>
      <c r="M9" s="164"/>
      <c r="N9" s="164"/>
      <c r="O9" s="164"/>
      <c r="P9" s="164"/>
      <c r="Q9" s="164"/>
      <c r="R9" s="164"/>
      <c r="S9" s="164"/>
      <c r="T9" s="164"/>
      <c r="U9" s="164"/>
      <c r="V9" s="303"/>
      <c r="W9" s="281"/>
    </row>
    <row r="10" spans="1:26" ht="30" customHeight="1">
      <c r="A10" s="371"/>
      <c r="B10" s="371"/>
      <c r="C10" s="967" t="s">
        <v>156</v>
      </c>
      <c r="D10" s="967"/>
      <c r="E10" s="967"/>
      <c r="F10" s="967"/>
      <c r="G10" s="967"/>
      <c r="H10" s="371"/>
      <c r="I10" s="371"/>
      <c r="J10" s="371"/>
      <c r="K10" s="371"/>
      <c r="L10" s="371"/>
      <c r="M10" s="371"/>
      <c r="N10" s="371"/>
      <c r="O10" s="967" t="s">
        <v>157</v>
      </c>
      <c r="P10" s="967"/>
      <c r="Q10" s="967"/>
      <c r="R10" s="967"/>
      <c r="S10" s="967"/>
      <c r="T10" s="967"/>
      <c r="U10" s="967"/>
      <c r="V10" s="967"/>
      <c r="W10" s="281"/>
    </row>
    <row r="11" spans="1:26" ht="28.5" customHeight="1">
      <c r="A11" s="965"/>
      <c r="B11" s="6"/>
      <c r="C11" s="963" t="s">
        <v>158</v>
      </c>
      <c r="D11" s="304"/>
      <c r="E11" s="958" t="s">
        <v>159</v>
      </c>
      <c r="F11" s="305"/>
      <c r="G11" s="958" t="s">
        <v>160</v>
      </c>
      <c r="H11" s="305"/>
      <c r="I11" s="958" t="s">
        <v>57</v>
      </c>
      <c r="J11" s="305"/>
      <c r="K11" s="958" t="s">
        <v>161</v>
      </c>
      <c r="L11" s="305"/>
      <c r="M11" s="622" t="s">
        <v>162</v>
      </c>
      <c r="N11" s="305"/>
      <c r="O11" s="958" t="s">
        <v>59</v>
      </c>
      <c r="P11" s="305"/>
      <c r="Q11" s="958" t="s">
        <v>163</v>
      </c>
      <c r="R11" s="305"/>
      <c r="S11" s="305"/>
      <c r="T11" s="958" t="s">
        <v>64</v>
      </c>
      <c r="U11" s="306"/>
      <c r="V11" s="958" t="s">
        <v>164</v>
      </c>
      <c r="W11" s="961" t="s">
        <v>165</v>
      </c>
      <c r="X11" s="290"/>
      <c r="Y11" s="962" t="s">
        <v>166</v>
      </c>
    </row>
    <row r="12" spans="1:26" ht="24" customHeight="1">
      <c r="A12" s="965"/>
      <c r="B12" s="6"/>
      <c r="C12" s="964"/>
      <c r="D12" s="304"/>
      <c r="E12" s="959"/>
      <c r="F12" s="305"/>
      <c r="G12" s="959"/>
      <c r="H12" s="305"/>
      <c r="I12" s="959"/>
      <c r="J12" s="305"/>
      <c r="K12" s="959"/>
      <c r="L12" s="305"/>
      <c r="M12" s="621" t="s">
        <v>167</v>
      </c>
      <c r="N12" s="305"/>
      <c r="O12" s="959"/>
      <c r="P12" s="305"/>
      <c r="Q12" s="959"/>
      <c r="R12" s="305"/>
      <c r="S12" s="305"/>
      <c r="T12" s="959" t="s">
        <v>166</v>
      </c>
      <c r="U12" s="320"/>
      <c r="V12" s="959" t="s">
        <v>166</v>
      </c>
      <c r="W12" s="961"/>
      <c r="X12" s="290"/>
      <c r="Y12" s="962"/>
    </row>
    <row r="13" spans="1:26" ht="4.5" customHeight="1">
      <c r="A13" s="6"/>
      <c r="B13" s="6"/>
      <c r="C13" s="782"/>
      <c r="D13" s="213"/>
      <c r="E13" s="302"/>
      <c r="F13" s="302"/>
      <c r="G13" s="213"/>
      <c r="H13" s="302"/>
      <c r="I13" s="213"/>
      <c r="J13" s="302"/>
      <c r="K13" s="213"/>
      <c r="L13" s="302"/>
      <c r="M13" s="213"/>
      <c r="N13" s="302"/>
      <c r="O13" s="213"/>
      <c r="P13" s="302"/>
      <c r="Q13" s="302"/>
      <c r="R13" s="302"/>
      <c r="S13" s="302"/>
      <c r="T13" s="213"/>
      <c r="U13" s="73"/>
      <c r="V13" s="303"/>
      <c r="W13" s="281"/>
    </row>
    <row r="14" spans="1:26" ht="13.5" customHeight="1">
      <c r="A14" s="221" t="s">
        <v>168</v>
      </c>
      <c r="B14" s="82"/>
      <c r="C14" s="784">
        <v>635041900000</v>
      </c>
      <c r="D14" s="213">
        <v>0</v>
      </c>
      <c r="E14" s="257">
        <v>-144200000</v>
      </c>
      <c r="F14" s="302"/>
      <c r="G14" s="257">
        <v>8329302000</v>
      </c>
      <c r="H14" s="302"/>
      <c r="I14" s="257">
        <v>91567541041</v>
      </c>
      <c r="J14" s="302"/>
      <c r="K14" s="257">
        <v>87405000939</v>
      </c>
      <c r="L14" s="302"/>
      <c r="M14" s="257">
        <v>-47385000</v>
      </c>
      <c r="N14" s="302"/>
      <c r="O14" s="257">
        <v>50198695192</v>
      </c>
      <c r="P14" s="302"/>
      <c r="Q14" s="257">
        <v>80120680209</v>
      </c>
      <c r="R14" s="302"/>
      <c r="S14" s="302"/>
      <c r="T14" s="257">
        <v>0</v>
      </c>
      <c r="U14" s="307"/>
      <c r="V14" s="257">
        <v>102604200814</v>
      </c>
      <c r="W14" s="297">
        <v>0</v>
      </c>
      <c r="X14" s="321"/>
      <c r="Y14" s="257">
        <f>SUM(C14:V14)</f>
        <v>1055075735195</v>
      </c>
      <c r="Z14" s="283"/>
    </row>
    <row r="15" spans="1:26">
      <c r="A15" s="6" t="s">
        <v>169</v>
      </c>
      <c r="B15" s="6"/>
      <c r="C15" s="782"/>
      <c r="D15" s="213"/>
      <c r="E15" s="302"/>
      <c r="F15" s="302"/>
      <c r="G15" s="213"/>
      <c r="H15" s="302"/>
      <c r="I15" s="213"/>
      <c r="J15" s="302"/>
      <c r="K15" s="213"/>
      <c r="L15" s="302"/>
      <c r="M15" s="213"/>
      <c r="N15" s="302"/>
      <c r="O15" s="213"/>
      <c r="P15" s="302"/>
      <c r="Q15" s="213"/>
      <c r="R15" s="302"/>
      <c r="S15" s="302"/>
      <c r="T15" s="213"/>
      <c r="U15" s="73"/>
      <c r="V15" s="303"/>
      <c r="W15" s="296"/>
      <c r="X15" s="321"/>
      <c r="Y15" s="302"/>
      <c r="Z15" s="282"/>
    </row>
    <row r="16" spans="1:26">
      <c r="A16" s="221" t="s">
        <v>170</v>
      </c>
      <c r="B16" s="6"/>
      <c r="C16" s="784">
        <f>+C14</f>
        <v>635041900000</v>
      </c>
      <c r="D16" s="213"/>
      <c r="E16" s="257">
        <f>+E14</f>
        <v>-144200000</v>
      </c>
      <c r="F16" s="302"/>
      <c r="G16" s="257">
        <f>+G14</f>
        <v>8329302000</v>
      </c>
      <c r="H16" s="302"/>
      <c r="I16" s="257">
        <f>+I14</f>
        <v>91567541041</v>
      </c>
      <c r="J16" s="302"/>
      <c r="K16" s="257">
        <f>+K14</f>
        <v>87405000939</v>
      </c>
      <c r="L16" s="302"/>
      <c r="M16" s="257">
        <f>+M14</f>
        <v>-47385000</v>
      </c>
      <c r="N16" s="302"/>
      <c r="O16" s="257">
        <f>+O14</f>
        <v>50198695192</v>
      </c>
      <c r="P16" s="302"/>
      <c r="Q16" s="257">
        <f>+Q14</f>
        <v>80120680209</v>
      </c>
      <c r="R16" s="302"/>
      <c r="S16" s="302"/>
      <c r="T16" s="257">
        <f>+T14</f>
        <v>0</v>
      </c>
      <c r="U16" s="307"/>
      <c r="V16" s="257">
        <f>+V14</f>
        <v>102604200814</v>
      </c>
      <c r="W16" s="297">
        <f>+W14</f>
        <v>0</v>
      </c>
      <c r="X16" s="282"/>
      <c r="Y16" s="257">
        <f>+C16+E16+G16+I16+K16+O16+Q16+T16+W16+V16+M16</f>
        <v>1055075735195</v>
      </c>
      <c r="Z16" s="282"/>
    </row>
    <row r="17" spans="1:26" ht="24">
      <c r="A17" s="308" t="s">
        <v>171</v>
      </c>
      <c r="B17" s="6"/>
      <c r="C17" s="213">
        <v>0</v>
      </c>
      <c r="D17" s="73"/>
      <c r="E17" s="73">
        <v>0</v>
      </c>
      <c r="F17" s="731"/>
      <c r="G17" s="73">
        <v>0</v>
      </c>
      <c r="H17" s="731"/>
      <c r="I17" s="73">
        <v>0</v>
      </c>
      <c r="J17" s="731"/>
      <c r="K17" s="73">
        <v>0</v>
      </c>
      <c r="L17" s="73"/>
      <c r="M17" s="73">
        <v>0</v>
      </c>
      <c r="N17" s="731"/>
      <c r="O17" s="73">
        <v>5130210041</v>
      </c>
      <c r="P17" s="731">
        <v>0</v>
      </c>
      <c r="Q17" s="73">
        <v>68231793541</v>
      </c>
      <c r="R17" s="731"/>
      <c r="S17" s="731"/>
      <c r="T17" s="73">
        <f>-O17-Q17</f>
        <v>-73362003582</v>
      </c>
      <c r="U17" s="73"/>
      <c r="V17" s="73">
        <v>0</v>
      </c>
      <c r="W17" s="281"/>
      <c r="Y17" s="310">
        <f>SUM(C17:V17)</f>
        <v>0</v>
      </c>
    </row>
    <row r="18" spans="1:26">
      <c r="A18" s="308" t="s">
        <v>172</v>
      </c>
      <c r="B18" s="6"/>
      <c r="C18" s="213">
        <v>0</v>
      </c>
      <c r="D18" s="213"/>
      <c r="E18" s="213">
        <v>0</v>
      </c>
      <c r="F18" s="302"/>
      <c r="G18" s="213">
        <v>0</v>
      </c>
      <c r="H18" s="302"/>
      <c r="I18" s="213">
        <v>0</v>
      </c>
      <c r="J18" s="302"/>
      <c r="K18" s="213">
        <v>0</v>
      </c>
      <c r="L18" s="213"/>
      <c r="M18" s="213">
        <v>0</v>
      </c>
      <c r="N18" s="302"/>
      <c r="O18" s="213">
        <v>0</v>
      </c>
      <c r="P18" s="302"/>
      <c r="Q18" s="213">
        <v>0</v>
      </c>
      <c r="R18" s="302"/>
      <c r="S18" s="302"/>
      <c r="T18" s="213">
        <v>-29242197232</v>
      </c>
      <c r="U18" s="73"/>
      <c r="V18" s="213">
        <v>0</v>
      </c>
      <c r="W18" s="281"/>
      <c r="Y18" s="310">
        <f>SUM(C18:V18)</f>
        <v>-29242197232</v>
      </c>
    </row>
    <row r="19" spans="1:26">
      <c r="A19" s="308" t="s">
        <v>173</v>
      </c>
      <c r="B19" s="6"/>
      <c r="C19" s="213">
        <v>0</v>
      </c>
      <c r="D19" s="213"/>
      <c r="E19" s="213">
        <v>0</v>
      </c>
      <c r="F19" s="302"/>
      <c r="G19" s="213">
        <v>0</v>
      </c>
      <c r="H19" s="302"/>
      <c r="I19" s="213">
        <v>0</v>
      </c>
      <c r="J19" s="302"/>
      <c r="K19" s="213">
        <v>0</v>
      </c>
      <c r="L19" s="213"/>
      <c r="M19" s="213">
        <v>0</v>
      </c>
      <c r="N19" s="302"/>
      <c r="O19" s="213">
        <v>0</v>
      </c>
      <c r="P19" s="302"/>
      <c r="Q19" s="213">
        <v>0</v>
      </c>
      <c r="R19" s="302"/>
      <c r="S19" s="302"/>
      <c r="T19" s="310">
        <v>102604200814</v>
      </c>
      <c r="U19" s="73"/>
      <c r="V19" s="213">
        <f>-T19</f>
        <v>-102604200814</v>
      </c>
      <c r="W19" s="281"/>
      <c r="Y19" s="310">
        <f t="shared" ref="Y19:Y25" si="0">SUM(C19:V19)</f>
        <v>0</v>
      </c>
    </row>
    <row r="20" spans="1:26" s="263" customFormat="1" hidden="1">
      <c r="A20" s="309" t="s">
        <v>174</v>
      </c>
      <c r="B20" s="64"/>
      <c r="C20" s="213">
        <v>0</v>
      </c>
      <c r="D20" s="75"/>
      <c r="E20" s="74">
        <v>0</v>
      </c>
      <c r="F20" s="310"/>
      <c r="G20" s="74">
        <v>0</v>
      </c>
      <c r="H20" s="310"/>
      <c r="I20" s="74">
        <v>0</v>
      </c>
      <c r="J20" s="310"/>
      <c r="K20" s="74">
        <v>0</v>
      </c>
      <c r="L20" s="74"/>
      <c r="M20" s="74">
        <v>0</v>
      </c>
      <c r="N20" s="310"/>
      <c r="O20" s="74">
        <v>0</v>
      </c>
      <c r="P20" s="310"/>
      <c r="Q20" s="310">
        <f>-C20</f>
        <v>0</v>
      </c>
      <c r="R20" s="310"/>
      <c r="S20" s="310"/>
      <c r="T20" s="74">
        <v>0</v>
      </c>
      <c r="U20" s="74"/>
      <c r="V20" s="74">
        <v>0</v>
      </c>
      <c r="W20" s="473"/>
      <c r="X20" s="287"/>
      <c r="Y20" s="310">
        <f t="shared" si="0"/>
        <v>0</v>
      </c>
    </row>
    <row r="21" spans="1:26" ht="24" hidden="1">
      <c r="A21" s="308" t="s">
        <v>175</v>
      </c>
      <c r="B21" s="6"/>
      <c r="C21" s="213">
        <v>0</v>
      </c>
      <c r="D21" s="213"/>
      <c r="E21" s="213">
        <v>0</v>
      </c>
      <c r="F21" s="302"/>
      <c r="G21" s="213">
        <v>0</v>
      </c>
      <c r="H21" s="302"/>
      <c r="I21" s="213">
        <v>0</v>
      </c>
      <c r="J21" s="302"/>
      <c r="K21" s="213">
        <v>0</v>
      </c>
      <c r="L21" s="213"/>
      <c r="M21" s="213">
        <v>0</v>
      </c>
      <c r="N21" s="302"/>
      <c r="O21" s="213">
        <v>0</v>
      </c>
      <c r="P21" s="302">
        <v>0</v>
      </c>
      <c r="Q21" s="213">
        <v>0</v>
      </c>
      <c r="R21" s="302"/>
      <c r="S21" s="302"/>
      <c r="T21" s="213">
        <v>0</v>
      </c>
      <c r="U21" s="73"/>
      <c r="V21" s="213">
        <v>0</v>
      </c>
      <c r="W21" s="281"/>
      <c r="Y21" s="310">
        <f t="shared" si="0"/>
        <v>0</v>
      </c>
    </row>
    <row r="22" spans="1:26" ht="12.75" hidden="1" customHeight="1">
      <c r="A22" s="309" t="s">
        <v>176</v>
      </c>
      <c r="B22" s="6"/>
      <c r="C22" s="213">
        <v>0</v>
      </c>
      <c r="D22" s="75"/>
      <c r="E22" s="310">
        <v>0</v>
      </c>
      <c r="F22" s="310"/>
      <c r="G22" s="310">
        <v>0</v>
      </c>
      <c r="H22" s="310"/>
      <c r="I22" s="310">
        <v>0</v>
      </c>
      <c r="J22" s="310"/>
      <c r="K22" s="310">
        <v>0</v>
      </c>
      <c r="L22" s="310"/>
      <c r="M22" s="310">
        <v>0</v>
      </c>
      <c r="N22" s="310"/>
      <c r="O22" s="310">
        <v>0</v>
      </c>
      <c r="P22" s="310"/>
      <c r="Q22" s="310">
        <v>0</v>
      </c>
      <c r="R22" s="310"/>
      <c r="S22" s="310"/>
      <c r="T22" s="310">
        <v>0</v>
      </c>
      <c r="U22" s="310"/>
      <c r="V22" s="310">
        <v>0</v>
      </c>
      <c r="W22" s="299"/>
      <c r="X22" s="287"/>
      <c r="Y22" s="310">
        <f t="shared" si="0"/>
        <v>0</v>
      </c>
    </row>
    <row r="23" spans="1:26" ht="12.75" hidden="1" customHeight="1">
      <c r="A23" s="309" t="s">
        <v>177</v>
      </c>
      <c r="B23" s="6"/>
      <c r="C23" s="213"/>
      <c r="D23" s="75"/>
      <c r="E23" s="310"/>
      <c r="F23" s="310"/>
      <c r="G23" s="310"/>
      <c r="H23" s="310"/>
      <c r="I23" s="310">
        <v>0</v>
      </c>
      <c r="J23" s="310"/>
      <c r="K23" s="310"/>
      <c r="L23" s="310"/>
      <c r="M23" s="310"/>
      <c r="N23" s="310"/>
      <c r="O23" s="310">
        <v>0</v>
      </c>
      <c r="P23" s="310"/>
      <c r="Q23" s="310"/>
      <c r="R23" s="310"/>
      <c r="S23" s="310"/>
      <c r="T23" s="310"/>
      <c r="U23" s="310"/>
      <c r="V23" s="310"/>
      <c r="W23" s="299"/>
      <c r="X23" s="287"/>
      <c r="Y23" s="310"/>
    </row>
    <row r="24" spans="1:26" ht="13.5" hidden="1" customHeight="1">
      <c r="A24" s="309" t="s">
        <v>178</v>
      </c>
      <c r="B24" s="6"/>
      <c r="C24" s="213">
        <v>0</v>
      </c>
      <c r="D24" s="75"/>
      <c r="E24" s="310">
        <v>0</v>
      </c>
      <c r="F24" s="310"/>
      <c r="G24" s="310">
        <v>0</v>
      </c>
      <c r="H24" s="310"/>
      <c r="I24" s="310">
        <v>0</v>
      </c>
      <c r="J24" s="310"/>
      <c r="K24" s="310">
        <v>0</v>
      </c>
      <c r="L24" s="310"/>
      <c r="M24" s="310">
        <v>0</v>
      </c>
      <c r="N24" s="310"/>
      <c r="O24" s="310">
        <v>0</v>
      </c>
      <c r="P24" s="310"/>
      <c r="Q24" s="310">
        <v>0</v>
      </c>
      <c r="R24" s="310"/>
      <c r="S24" s="310"/>
      <c r="T24" s="310">
        <v>0</v>
      </c>
      <c r="U24" s="310"/>
      <c r="V24" s="310">
        <v>0</v>
      </c>
      <c r="W24" s="299"/>
      <c r="X24" s="287"/>
      <c r="Y24" s="310">
        <f t="shared" si="0"/>
        <v>0</v>
      </c>
    </row>
    <row r="25" spans="1:26" s="263" customFormat="1">
      <c r="A25" s="309" t="s">
        <v>179</v>
      </c>
      <c r="B25" s="64"/>
      <c r="C25" s="213">
        <v>0</v>
      </c>
      <c r="D25" s="75"/>
      <c r="E25" s="310">
        <v>0</v>
      </c>
      <c r="F25" s="310"/>
      <c r="G25" s="310">
        <v>0</v>
      </c>
      <c r="H25" s="310"/>
      <c r="I25" s="310">
        <v>0</v>
      </c>
      <c r="J25" s="310"/>
      <c r="K25" s="310">
        <v>0</v>
      </c>
      <c r="L25" s="310"/>
      <c r="M25" s="310">
        <v>0</v>
      </c>
      <c r="N25" s="310"/>
      <c r="O25" s="310">
        <v>0</v>
      </c>
      <c r="P25" s="310"/>
      <c r="Q25" s="310">
        <v>0</v>
      </c>
      <c r="R25" s="310"/>
      <c r="S25" s="310"/>
      <c r="T25" s="310">
        <v>0</v>
      </c>
      <c r="U25" s="310"/>
      <c r="V25" s="310">
        <v>43884528751</v>
      </c>
      <c r="W25" s="299"/>
      <c r="X25" s="287"/>
      <c r="Y25" s="310">
        <f t="shared" si="0"/>
        <v>43884528751</v>
      </c>
    </row>
    <row r="26" spans="1:26" ht="13.5" customHeight="1">
      <c r="A26" s="6"/>
      <c r="B26" s="6"/>
      <c r="C26" s="782"/>
      <c r="D26" s="213"/>
      <c r="E26" s="213"/>
      <c r="F26" s="302"/>
      <c r="G26" s="213"/>
      <c r="H26" s="302"/>
      <c r="I26" s="213"/>
      <c r="J26" s="302"/>
      <c r="K26" s="213"/>
      <c r="L26" s="213"/>
      <c r="M26" s="213"/>
      <c r="N26" s="302"/>
      <c r="O26" s="213"/>
      <c r="P26" s="302"/>
      <c r="Q26" s="213"/>
      <c r="R26" s="302"/>
      <c r="S26" s="302"/>
      <c r="T26" s="213"/>
      <c r="U26" s="73"/>
      <c r="V26" s="213"/>
      <c r="W26" s="281"/>
    </row>
    <row r="27" spans="1:26" ht="13.5" thickBot="1">
      <c r="A27" s="230" t="s">
        <v>180</v>
      </c>
      <c r="B27" s="82"/>
      <c r="C27" s="785">
        <f>SUM(C16:C25)</f>
        <v>635041900000</v>
      </c>
      <c r="D27" s="830"/>
      <c r="E27" s="322">
        <f>SUM(E16:E25)</f>
        <v>-144200000</v>
      </c>
      <c r="F27" s="311"/>
      <c r="G27" s="322">
        <f>SUM(G16:G25)</f>
        <v>8329302000</v>
      </c>
      <c r="H27" s="311">
        <f>SUM(H14:H26)</f>
        <v>0</v>
      </c>
      <c r="I27" s="322">
        <f>SUM(I16:I25)</f>
        <v>91567541041</v>
      </c>
      <c r="J27" s="311"/>
      <c r="K27" s="322">
        <f>SUM(K16:K25)</f>
        <v>87405000939</v>
      </c>
      <c r="L27" s="213"/>
      <c r="M27" s="322">
        <f>SUM(M16:M25)</f>
        <v>-47385000</v>
      </c>
      <c r="N27" s="311"/>
      <c r="O27" s="322">
        <f>SUM(O16:O25)</f>
        <v>55328905233</v>
      </c>
      <c r="P27" s="311"/>
      <c r="Q27" s="322">
        <f>SUM(Q16:Q25)</f>
        <v>148352473750</v>
      </c>
      <c r="R27" s="311"/>
      <c r="S27" s="311"/>
      <c r="T27" s="322">
        <f>SUM(T16:T25)</f>
        <v>0</v>
      </c>
      <c r="U27" s="312"/>
      <c r="V27" s="322">
        <v>74115008613</v>
      </c>
      <c r="W27" s="298">
        <f>W16+W17+W20+W21+W22+W24+W25</f>
        <v>0</v>
      </c>
      <c r="X27" s="283"/>
      <c r="Y27" s="322">
        <v>1099948546576</v>
      </c>
      <c r="Z27" s="63"/>
    </row>
    <row r="28" spans="1:26" ht="13.5" thickTop="1">
      <c r="A28" s="127"/>
      <c r="B28" s="82"/>
      <c r="C28" s="786"/>
      <c r="D28" s="213"/>
      <c r="E28" s="312"/>
      <c r="F28" s="74"/>
      <c r="G28" s="312"/>
      <c r="H28" s="74"/>
      <c r="I28" s="312"/>
      <c r="J28" s="74"/>
      <c r="K28" s="312"/>
      <c r="L28" s="213"/>
      <c r="M28" s="312"/>
      <c r="N28" s="74"/>
      <c r="O28" s="312"/>
      <c r="P28" s="74"/>
      <c r="Q28" s="312"/>
      <c r="R28" s="74"/>
      <c r="S28" s="74"/>
      <c r="T28" s="312"/>
      <c r="U28" s="312"/>
      <c r="V28" s="312"/>
      <c r="W28" s="298"/>
      <c r="X28" s="300"/>
      <c r="Y28" s="307"/>
      <c r="Z28" s="63"/>
    </row>
    <row r="29" spans="1:26">
      <c r="A29" s="221" t="s">
        <v>181</v>
      </c>
      <c r="B29" s="82"/>
      <c r="C29" s="785">
        <v>777367000000</v>
      </c>
      <c r="D29" s="213"/>
      <c r="E29" s="322">
        <v>-144200000</v>
      </c>
      <c r="F29" s="311"/>
      <c r="G29" s="322">
        <v>8329302000</v>
      </c>
      <c r="H29" s="311">
        <f>SUM(H16:H28)</f>
        <v>0</v>
      </c>
      <c r="I29" s="322">
        <v>91567541041</v>
      </c>
      <c r="J29" s="311"/>
      <c r="K29" s="322">
        <v>87405000939</v>
      </c>
      <c r="L29" s="213"/>
      <c r="M29" s="322">
        <f>+M27</f>
        <v>-47385000</v>
      </c>
      <c r="N29" s="311"/>
      <c r="O29" s="322">
        <v>55328905233</v>
      </c>
      <c r="P29" s="311"/>
      <c r="Q29" s="322">
        <v>6027373750</v>
      </c>
      <c r="R29" s="311"/>
      <c r="S29" s="311"/>
      <c r="T29" s="322">
        <v>0</v>
      </c>
      <c r="U29" s="312"/>
      <c r="V29" s="322">
        <v>111952781789</v>
      </c>
      <c r="W29" s="298">
        <f>W19+W20+W22+W24+W25+W26+W27</f>
        <v>0</v>
      </c>
      <c r="X29" s="283"/>
      <c r="Y29" s="257">
        <f>+V29+Q29+O29+M29+K29+I29+G29+E29+C29</f>
        <v>1137786319752</v>
      </c>
      <c r="Z29" s="63"/>
    </row>
    <row r="30" spans="1:26">
      <c r="A30" s="308" t="s">
        <v>173</v>
      </c>
      <c r="B30" s="6"/>
      <c r="C30" s="73">
        <v>0</v>
      </c>
      <c r="D30" s="213"/>
      <c r="E30" s="213">
        <v>0</v>
      </c>
      <c r="F30" s="302"/>
      <c r="G30" s="213">
        <v>0</v>
      </c>
      <c r="H30" s="302"/>
      <c r="I30" s="213">
        <v>0</v>
      </c>
      <c r="J30" s="302"/>
      <c r="K30" s="213">
        <v>0</v>
      </c>
      <c r="L30" s="213"/>
      <c r="M30" s="213">
        <v>0</v>
      </c>
      <c r="N30" s="302"/>
      <c r="O30" s="213">
        <v>0</v>
      </c>
      <c r="P30" s="302"/>
      <c r="Q30" s="213">
        <v>0</v>
      </c>
      <c r="R30" s="302"/>
      <c r="S30" s="302"/>
      <c r="T30" s="213">
        <v>111952781789</v>
      </c>
      <c r="U30" s="73"/>
      <c r="V30" s="213">
        <f>-T30</f>
        <v>-111952781789</v>
      </c>
      <c r="W30" s="281"/>
      <c r="Y30" s="214">
        <f>+T30+V30</f>
        <v>0</v>
      </c>
    </row>
    <row r="31" spans="1:26" ht="27.75" customHeight="1">
      <c r="A31" s="308" t="s">
        <v>182</v>
      </c>
      <c r="B31" s="6"/>
      <c r="C31" s="73">
        <v>0</v>
      </c>
      <c r="D31" s="73"/>
      <c r="E31" s="73">
        <v>0</v>
      </c>
      <c r="F31" s="731"/>
      <c r="G31" s="73">
        <v>0</v>
      </c>
      <c r="H31" s="731"/>
      <c r="I31" s="73">
        <v>0</v>
      </c>
      <c r="J31" s="731"/>
      <c r="K31" s="73">
        <v>0</v>
      </c>
      <c r="L31" s="73"/>
      <c r="M31" s="73">
        <v>0</v>
      </c>
      <c r="N31" s="731"/>
      <c r="O31" s="73">
        <v>5597639089</v>
      </c>
      <c r="P31" s="731"/>
      <c r="Q31" s="73">
        <v>69130842755</v>
      </c>
      <c r="R31" s="731"/>
      <c r="S31" s="731"/>
      <c r="T31" s="73">
        <f>-O31-Q31</f>
        <v>-74728481844</v>
      </c>
      <c r="U31" s="73"/>
      <c r="V31" s="73">
        <v>0</v>
      </c>
      <c r="W31" s="474"/>
      <c r="X31" s="280"/>
      <c r="Y31" s="214">
        <v>0</v>
      </c>
    </row>
    <row r="32" spans="1:26" ht="12.75" customHeight="1">
      <c r="A32" s="308" t="s">
        <v>172</v>
      </c>
      <c r="B32" s="6"/>
      <c r="C32" s="73">
        <v>0</v>
      </c>
      <c r="D32" s="213"/>
      <c r="E32" s="213">
        <v>0</v>
      </c>
      <c r="F32" s="302"/>
      <c r="G32" s="213">
        <v>0</v>
      </c>
      <c r="H32" s="302"/>
      <c r="I32" s="213">
        <v>0</v>
      </c>
      <c r="J32" s="302"/>
      <c r="K32" s="213">
        <v>0</v>
      </c>
      <c r="L32" s="213"/>
      <c r="M32" s="213">
        <v>0</v>
      </c>
      <c r="N32" s="302"/>
      <c r="O32" s="213">
        <v>0</v>
      </c>
      <c r="P32" s="302"/>
      <c r="Q32" s="213">
        <v>0</v>
      </c>
      <c r="R32" s="302"/>
      <c r="S32" s="302"/>
      <c r="T32" s="213">
        <v>-37224299945</v>
      </c>
      <c r="U32" s="73"/>
      <c r="V32" s="213">
        <v>0</v>
      </c>
      <c r="W32" s="474"/>
      <c r="X32" s="280"/>
      <c r="Y32" s="214">
        <f>+T32</f>
        <v>-37224299945</v>
      </c>
    </row>
    <row r="33" spans="1:27" ht="12.75" customHeight="1">
      <c r="A33" s="308" t="s">
        <v>183</v>
      </c>
      <c r="B33" s="6"/>
      <c r="C33" s="73">
        <v>0</v>
      </c>
      <c r="D33" s="213"/>
      <c r="E33" s="213"/>
      <c r="F33" s="302"/>
      <c r="G33" s="213"/>
      <c r="H33" s="302"/>
      <c r="I33" s="213"/>
      <c r="J33" s="302"/>
      <c r="K33" s="213"/>
      <c r="L33" s="213"/>
      <c r="M33" s="213"/>
      <c r="N33" s="302"/>
      <c r="O33" s="213"/>
      <c r="P33" s="302"/>
      <c r="Q33" s="213">
        <f>-C33</f>
        <v>0</v>
      </c>
      <c r="R33" s="302"/>
      <c r="S33" s="302"/>
      <c r="T33" s="213"/>
      <c r="U33" s="73"/>
      <c r="V33" s="213"/>
      <c r="W33" s="474"/>
      <c r="X33" s="280"/>
      <c r="Y33" s="214"/>
    </row>
    <row r="34" spans="1:27" s="263" customFormat="1" hidden="1">
      <c r="A34" s="309" t="s">
        <v>176</v>
      </c>
      <c r="B34" s="475"/>
      <c r="C34" s="778">
        <v>0</v>
      </c>
      <c r="D34" s="75"/>
      <c r="E34" s="74">
        <v>0</v>
      </c>
      <c r="F34" s="310"/>
      <c r="G34" s="74">
        <v>0</v>
      </c>
      <c r="H34" s="310"/>
      <c r="I34" s="74">
        <v>0</v>
      </c>
      <c r="J34" s="310"/>
      <c r="K34" s="74">
        <v>0</v>
      </c>
      <c r="L34" s="74"/>
      <c r="M34" s="74">
        <v>0</v>
      </c>
      <c r="N34" s="310"/>
      <c r="O34" s="74">
        <v>0</v>
      </c>
      <c r="P34" s="310"/>
      <c r="Q34" s="74">
        <v>0</v>
      </c>
      <c r="R34" s="310"/>
      <c r="S34" s="310"/>
      <c r="T34" s="74">
        <v>0</v>
      </c>
      <c r="U34" s="74"/>
      <c r="V34" s="74">
        <v>0</v>
      </c>
      <c r="W34" s="473"/>
      <c r="X34" s="287"/>
      <c r="Y34" s="74">
        <f>+T34</f>
        <v>0</v>
      </c>
    </row>
    <row r="35" spans="1:27" hidden="1">
      <c r="A35" s="313" t="s">
        <v>184</v>
      </c>
      <c r="B35" s="313"/>
      <c r="C35" s="782">
        <v>0</v>
      </c>
      <c r="D35" s="213"/>
      <c r="E35" s="213">
        <v>0</v>
      </c>
      <c r="F35" s="302"/>
      <c r="G35" s="213">
        <v>0</v>
      </c>
      <c r="H35" s="302"/>
      <c r="I35" s="213">
        <v>0</v>
      </c>
      <c r="J35" s="302"/>
      <c r="K35" s="213">
        <v>0</v>
      </c>
      <c r="L35" s="213"/>
      <c r="M35" s="213">
        <v>0</v>
      </c>
      <c r="N35" s="302"/>
      <c r="O35" s="314">
        <v>0</v>
      </c>
      <c r="P35" s="302"/>
      <c r="Q35" s="314">
        <v>0</v>
      </c>
      <c r="R35" s="302"/>
      <c r="S35" s="302"/>
      <c r="T35" s="213">
        <v>0</v>
      </c>
      <c r="U35" s="73"/>
      <c r="V35" s="213">
        <v>0</v>
      </c>
      <c r="X35" s="266"/>
      <c r="Y35" s="6">
        <v>0</v>
      </c>
    </row>
    <row r="36" spans="1:27">
      <c r="A36" s="313"/>
      <c r="B36" s="313"/>
      <c r="C36" s="782"/>
      <c r="D36" s="213"/>
      <c r="E36" s="213"/>
      <c r="F36" s="302"/>
      <c r="G36" s="213"/>
      <c r="H36" s="302"/>
      <c r="I36" s="213"/>
      <c r="J36" s="302"/>
      <c r="K36" s="213"/>
      <c r="L36" s="213"/>
      <c r="M36" s="213"/>
      <c r="N36" s="302"/>
      <c r="O36" s="314"/>
      <c r="P36" s="302"/>
      <c r="Q36" s="314"/>
      <c r="R36" s="302"/>
      <c r="S36" s="302"/>
      <c r="T36" s="213"/>
      <c r="U36" s="73"/>
      <c r="V36" s="213"/>
      <c r="X36" s="266"/>
    </row>
    <row r="37" spans="1:27">
      <c r="A37" s="221" t="s">
        <v>179</v>
      </c>
      <c r="B37" s="6"/>
      <c r="C37" s="784">
        <v>0</v>
      </c>
      <c r="D37" s="213">
        <v>0</v>
      </c>
      <c r="E37" s="257">
        <v>0</v>
      </c>
      <c r="F37" s="302"/>
      <c r="G37" s="257">
        <v>0</v>
      </c>
      <c r="H37" s="302"/>
      <c r="I37" s="257">
        <v>0</v>
      </c>
      <c r="J37" s="302"/>
      <c r="K37" s="257">
        <v>0</v>
      </c>
      <c r="L37" s="213"/>
      <c r="M37" s="257">
        <v>0</v>
      </c>
      <c r="N37" s="302"/>
      <c r="O37" s="257">
        <v>0</v>
      </c>
      <c r="P37" s="302"/>
      <c r="Q37" s="257">
        <v>0</v>
      </c>
      <c r="R37" s="302"/>
      <c r="S37" s="302"/>
      <c r="T37" s="257">
        <v>0</v>
      </c>
      <c r="U37" s="307"/>
      <c r="V37" s="257">
        <v>45517033400</v>
      </c>
      <c r="W37" s="297"/>
      <c r="X37" s="282"/>
      <c r="Y37" s="257">
        <f>+V37</f>
        <v>45517033400</v>
      </c>
    </row>
    <row r="38" spans="1:27">
      <c r="A38" s="6"/>
      <c r="B38" s="6"/>
      <c r="C38" s="782"/>
      <c r="D38" s="213"/>
      <c r="E38" s="213"/>
      <c r="F38" s="302"/>
      <c r="G38" s="213"/>
      <c r="H38" s="302"/>
      <c r="I38" s="213"/>
      <c r="J38" s="302"/>
      <c r="K38" s="213"/>
      <c r="L38" s="213"/>
      <c r="M38" s="213"/>
      <c r="N38" s="302"/>
      <c r="O38" s="213"/>
      <c r="P38" s="302"/>
      <c r="Q38" s="213"/>
      <c r="R38" s="302"/>
      <c r="S38" s="302"/>
      <c r="T38" s="213"/>
      <c r="U38" s="73"/>
      <c r="V38" s="213"/>
      <c r="W38" s="281"/>
    </row>
    <row r="39" spans="1:27" ht="13.5" thickBot="1">
      <c r="A39" s="230" t="s">
        <v>1411</v>
      </c>
      <c r="B39" s="82"/>
      <c r="C39" s="785">
        <f>C29+C31+C33+C34+C35+C37</f>
        <v>777367000000</v>
      </c>
      <c r="D39" s="830">
        <f>SUM(D27:D37)</f>
        <v>0</v>
      </c>
      <c r="E39" s="322">
        <f>E29+E31+E34+E35+E37</f>
        <v>-144200000</v>
      </c>
      <c r="F39" s="315"/>
      <c r="G39" s="322">
        <f>G29+G31+G34+G35+G37</f>
        <v>8329302000</v>
      </c>
      <c r="H39" s="315"/>
      <c r="I39" s="322">
        <f>I29+I31+I34+I35+I37</f>
        <v>91567541041</v>
      </c>
      <c r="J39" s="315"/>
      <c r="K39" s="322">
        <f>K29+K31+K34+K35+K37</f>
        <v>87405000939</v>
      </c>
      <c r="L39" s="213"/>
      <c r="M39" s="322">
        <f>M29+M31+M34+M35+M37</f>
        <v>-47385000</v>
      </c>
      <c r="N39" s="315"/>
      <c r="O39" s="322">
        <f>O29+O31+O34+O35+O37</f>
        <v>60926544322</v>
      </c>
      <c r="P39" s="315"/>
      <c r="Q39" s="322">
        <f>Q29+Q31+Q34+Q35+Q37+Q33</f>
        <v>75158216505</v>
      </c>
      <c r="R39" s="315"/>
      <c r="S39" s="315"/>
      <c r="T39" s="322">
        <f>SUM(T29:T35)</f>
        <v>0</v>
      </c>
      <c r="U39" s="312"/>
      <c r="V39" s="322">
        <f>SUM(V29:V37)</f>
        <v>45517033400</v>
      </c>
      <c r="W39" s="298">
        <f>W27+W31+W34+W35+W37</f>
        <v>0</v>
      </c>
      <c r="X39" s="283"/>
      <c r="Y39" s="322">
        <f>SUM(Y29:Y38)</f>
        <v>1146079053207</v>
      </c>
      <c r="Z39" s="63"/>
      <c r="AA39" s="63"/>
    </row>
    <row r="40" spans="1:27" ht="13.5" thickTop="1">
      <c r="A40" s="82"/>
      <c r="B40" s="82"/>
      <c r="C40" s="787"/>
      <c r="D40" s="317"/>
      <c r="E40" s="315"/>
      <c r="F40" s="315"/>
      <c r="G40" s="83"/>
      <c r="H40" s="315"/>
      <c r="I40" s="316"/>
      <c r="J40" s="315"/>
      <c r="K40" s="316"/>
      <c r="L40" s="316"/>
      <c r="M40" s="316"/>
      <c r="N40" s="315"/>
      <c r="O40" s="316"/>
      <c r="P40" s="315"/>
      <c r="Q40" s="315"/>
      <c r="R40" s="315"/>
      <c r="S40" s="315"/>
      <c r="T40" s="316"/>
      <c r="U40" s="83"/>
      <c r="V40" s="303"/>
      <c r="W40" s="476"/>
      <c r="Y40" s="214"/>
    </row>
    <row r="41" spans="1:27">
      <c r="A41" s="6" t="s">
        <v>151</v>
      </c>
      <c r="B41" s="6"/>
      <c r="C41" s="788"/>
      <c r="D41" s="216"/>
      <c r="E41" s="318"/>
      <c r="F41" s="318"/>
      <c r="G41" s="216"/>
      <c r="H41" s="318"/>
      <c r="I41" s="214"/>
      <c r="J41" s="6"/>
      <c r="K41" s="213"/>
      <c r="L41" s="213"/>
      <c r="M41" s="213"/>
      <c r="N41" s="318"/>
      <c r="O41" s="216"/>
      <c r="P41" s="318"/>
      <c r="Q41" s="318"/>
      <c r="R41" s="318"/>
      <c r="S41" s="318"/>
      <c r="T41" s="216"/>
      <c r="U41" s="319"/>
      <c r="V41" s="213"/>
      <c r="Y41" s="214"/>
      <c r="Z41" s="280"/>
    </row>
    <row r="42" spans="1:27">
      <c r="A42" s="6"/>
      <c r="B42" s="6"/>
      <c r="C42" s="788"/>
      <c r="D42" s="216"/>
      <c r="E42" s="318"/>
      <c r="F42" s="318"/>
      <c r="G42" s="216"/>
      <c r="H42" s="318"/>
      <c r="I42" s="6"/>
      <c r="J42" s="6"/>
      <c r="K42" s="213"/>
      <c r="L42" s="213"/>
      <c r="M42" s="213"/>
      <c r="N42" s="318"/>
      <c r="O42" s="216"/>
      <c r="P42" s="318"/>
      <c r="Q42" s="318"/>
      <c r="R42" s="318"/>
      <c r="S42" s="318"/>
      <c r="T42" s="216"/>
      <c r="U42" s="319"/>
      <c r="V42" s="213"/>
      <c r="Y42" s="214"/>
      <c r="Z42" s="280"/>
    </row>
    <row r="43" spans="1:27">
      <c r="A43" s="6"/>
      <c r="B43" s="6"/>
      <c r="C43" s="788"/>
      <c r="D43" s="216"/>
      <c r="E43" s="318"/>
      <c r="F43" s="318"/>
      <c r="G43" s="216"/>
      <c r="H43" s="318"/>
      <c r="I43" s="214"/>
      <c r="J43" s="6"/>
      <c r="K43" s="213"/>
      <c r="L43" s="213"/>
      <c r="M43" s="213"/>
      <c r="N43" s="318"/>
      <c r="O43" s="216"/>
      <c r="P43" s="318"/>
      <c r="Q43" s="318"/>
      <c r="R43" s="318"/>
      <c r="S43" s="318"/>
      <c r="T43" s="216"/>
      <c r="U43" s="319"/>
      <c r="V43" s="213"/>
      <c r="Y43" s="98"/>
    </row>
    <row r="44" spans="1:27">
      <c r="A44" s="6"/>
      <c r="B44" s="6"/>
      <c r="C44" s="788"/>
      <c r="D44" s="216"/>
      <c r="E44" s="318"/>
      <c r="F44" s="318"/>
      <c r="G44" s="216"/>
      <c r="H44" s="318"/>
      <c r="I44" s="6"/>
      <c r="J44" s="6"/>
      <c r="K44" s="213"/>
      <c r="L44" s="213"/>
      <c r="M44" s="213"/>
      <c r="N44" s="318"/>
      <c r="O44" s="216"/>
      <c r="P44" s="318"/>
      <c r="Q44" s="318"/>
      <c r="R44" s="318"/>
      <c r="S44" s="318"/>
      <c r="T44" s="216"/>
      <c r="U44" s="319"/>
      <c r="V44" s="213"/>
      <c r="Y44" s="98"/>
    </row>
    <row r="45" spans="1:27">
      <c r="A45" s="6"/>
      <c r="B45" s="6"/>
      <c r="C45" s="788"/>
      <c r="D45" s="216"/>
      <c r="E45" s="318"/>
      <c r="F45" s="318"/>
      <c r="G45" s="216"/>
      <c r="H45" s="318"/>
      <c r="I45" s="6"/>
      <c r="J45" s="6"/>
      <c r="K45" s="213"/>
      <c r="L45" s="213"/>
      <c r="M45" s="213"/>
      <c r="N45" s="318"/>
      <c r="O45" s="216"/>
      <c r="P45" s="318"/>
      <c r="Q45" s="318"/>
      <c r="R45" s="318"/>
      <c r="S45" s="318"/>
      <c r="T45" s="216"/>
      <c r="U45" s="319"/>
      <c r="V45" s="216"/>
    </row>
    <row r="47" spans="1:27">
      <c r="C47" s="789"/>
      <c r="D47" s="283"/>
      <c r="E47" s="291"/>
      <c r="F47" s="291"/>
      <c r="G47" s="283"/>
      <c r="H47" s="291"/>
      <c r="I47" s="1"/>
      <c r="J47" s="1"/>
      <c r="N47" s="291"/>
      <c r="O47" s="283"/>
      <c r="P47" s="291"/>
      <c r="Q47" s="291"/>
      <c r="R47" s="291"/>
      <c r="S47" s="291"/>
      <c r="T47" s="283"/>
      <c r="U47" s="300"/>
    </row>
    <row r="48" spans="1:27">
      <c r="G48" s="283"/>
      <c r="I48" s="1"/>
      <c r="J48" s="1"/>
      <c r="K48" s="284"/>
      <c r="L48" s="284"/>
      <c r="M48" s="284"/>
    </row>
  </sheetData>
  <mergeCells count="17">
    <mergeCell ref="T11:T12"/>
    <mergeCell ref="V11:V12"/>
    <mergeCell ref="A1:E1"/>
    <mergeCell ref="W11:W12"/>
    <mergeCell ref="Y11:Y12"/>
    <mergeCell ref="C11:C12"/>
    <mergeCell ref="A11:A12"/>
    <mergeCell ref="A6:T6"/>
    <mergeCell ref="A7:T7"/>
    <mergeCell ref="C10:G10"/>
    <mergeCell ref="O10:V10"/>
    <mergeCell ref="E11:E12"/>
    <mergeCell ref="G11:G12"/>
    <mergeCell ref="I11:I12"/>
    <mergeCell ref="K11:K12"/>
    <mergeCell ref="O11:O12"/>
    <mergeCell ref="Q11:Q12"/>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dimension ref="A1:Z14"/>
  <sheetViews>
    <sheetView showGridLines="0" zoomScaleNormal="100" workbookViewId="0">
      <selection activeCell="B1" sqref="B1"/>
    </sheetView>
  </sheetViews>
  <sheetFormatPr baseColWidth="10" defaultColWidth="11.42578125" defaultRowHeight="15"/>
  <cols>
    <col min="1" max="1" width="38.28515625" style="9" customWidth="1"/>
    <col min="2" max="2" width="18.42578125" style="9" customWidth="1"/>
    <col min="3" max="3" width="17.28515625" style="9" customWidth="1"/>
    <col min="4" max="4" width="0.85546875" style="9" hidden="1" customWidth="1"/>
    <col min="5" max="5" width="16.7109375" style="9" hidden="1" customWidth="1"/>
    <col min="6" max="6" width="11.42578125" style="9"/>
    <col min="7" max="13" width="11.42578125" style="9" customWidth="1"/>
    <col min="14" max="22" width="11.42578125" style="9"/>
  </cols>
  <sheetData>
    <row r="1" spans="1:26" s="6" customFormat="1" ht="18" customHeight="1">
      <c r="A1" s="217" t="str">
        <f>Indice!C1</f>
        <v>NICOLAS GONZALEZ ODDONE S.A.E.C.A</v>
      </c>
      <c r="B1" s="632" t="s">
        <v>69</v>
      </c>
      <c r="C1" s="227"/>
      <c r="D1" s="94"/>
      <c r="E1" s="97"/>
      <c r="F1" s="94"/>
      <c r="G1" s="94"/>
      <c r="H1" s="94"/>
      <c r="I1" s="94"/>
      <c r="J1" s="94"/>
      <c r="K1" s="94"/>
      <c r="L1" s="94"/>
      <c r="M1" s="94"/>
      <c r="N1" s="94"/>
      <c r="O1" s="94"/>
      <c r="P1" s="94"/>
      <c r="Q1" s="94"/>
      <c r="R1" s="94"/>
      <c r="S1" s="94"/>
      <c r="T1" s="94"/>
      <c r="U1" s="94"/>
      <c r="V1" s="94"/>
      <c r="W1" s="94"/>
      <c r="X1" s="94"/>
      <c r="Y1" s="94"/>
      <c r="Z1" s="94"/>
    </row>
    <row r="2" spans="1:26" s="6" customFormat="1" ht="18" customHeight="1">
      <c r="A2" s="145"/>
      <c r="B2" s="632"/>
      <c r="C2" s="227"/>
      <c r="D2" s="94"/>
      <c r="E2" s="97"/>
      <c r="F2" s="94"/>
      <c r="G2" s="94"/>
      <c r="H2" s="94"/>
      <c r="I2" s="94"/>
      <c r="J2" s="94"/>
      <c r="K2" s="94"/>
      <c r="L2" s="94"/>
      <c r="M2" s="94"/>
      <c r="N2" s="94"/>
      <c r="O2" s="94"/>
      <c r="P2" s="94"/>
      <c r="Q2" s="94"/>
      <c r="R2" s="94"/>
      <c r="S2" s="94"/>
      <c r="T2" s="94"/>
      <c r="U2" s="94"/>
      <c r="V2" s="94"/>
      <c r="W2" s="94"/>
      <c r="X2" s="94"/>
      <c r="Y2" s="94"/>
      <c r="Z2" s="94"/>
    </row>
    <row r="3" spans="1:26" ht="16.5" customHeight="1">
      <c r="A3" s="221" t="s">
        <v>923</v>
      </c>
      <c r="B3" s="221"/>
      <c r="C3" s="221"/>
      <c r="D3" s="53"/>
      <c r="E3" s="53"/>
      <c r="F3" s="20"/>
      <c r="G3" s="23"/>
      <c r="H3" s="21"/>
    </row>
    <row r="4" spans="1:26">
      <c r="A4" s="1005" t="s">
        <v>113</v>
      </c>
      <c r="B4" s="1005"/>
      <c r="C4" s="21"/>
      <c r="D4" s="21"/>
      <c r="E4" s="21"/>
      <c r="F4" s="20"/>
      <c r="G4" s="23"/>
      <c r="H4" s="21"/>
    </row>
    <row r="5" spans="1:26" ht="23.25">
      <c r="A5" s="268" t="s">
        <v>620</v>
      </c>
      <c r="D5" s="21"/>
      <c r="E5" s="21"/>
      <c r="F5" s="20"/>
      <c r="G5" s="23"/>
      <c r="H5" s="21"/>
    </row>
    <row r="6" spans="1:26" ht="14.25" customHeight="1">
      <c r="A6" s="908" t="s">
        <v>345</v>
      </c>
      <c r="B6" s="735">
        <v>44834</v>
      </c>
      <c r="C6" s="735">
        <v>44469</v>
      </c>
      <c r="D6" s="21"/>
      <c r="E6" s="21"/>
      <c r="F6" s="20"/>
      <c r="G6" s="23"/>
      <c r="H6" s="21"/>
    </row>
    <row r="7" spans="1:26">
      <c r="A7" s="179" t="s">
        <v>924</v>
      </c>
      <c r="D7" s="21"/>
      <c r="E7" s="21"/>
      <c r="F7" s="20"/>
      <c r="G7" s="23"/>
      <c r="H7" s="21"/>
    </row>
    <row r="8" spans="1:26">
      <c r="A8" s="178" t="s">
        <v>925</v>
      </c>
      <c r="B8" s="20"/>
      <c r="C8" s="20"/>
      <c r="D8" s="21"/>
      <c r="E8" s="21"/>
      <c r="F8" s="20"/>
      <c r="G8" s="23"/>
      <c r="H8" s="21"/>
    </row>
    <row r="9" spans="1:26" ht="6.75" customHeight="1">
      <c r="A9" s="20"/>
      <c r="B9" s="20"/>
      <c r="C9" s="20"/>
      <c r="D9" s="21"/>
      <c r="E9" s="21"/>
      <c r="F9" s="20"/>
      <c r="G9" s="23"/>
      <c r="H9" s="21"/>
    </row>
    <row r="10" spans="1:26" ht="9" hidden="1" customHeight="1">
      <c r="A10" s="20"/>
      <c r="B10" s="20"/>
      <c r="C10" s="20"/>
      <c r="D10" s="21"/>
      <c r="E10" s="21"/>
      <c r="F10" s="20"/>
      <c r="G10" s="23"/>
      <c r="H10" s="21"/>
    </row>
    <row r="11" spans="1:26" ht="8.25" hidden="1" customHeight="1">
      <c r="A11" s="20"/>
      <c r="B11" s="22"/>
      <c r="C11" s="20"/>
      <c r="D11" s="21"/>
      <c r="E11" s="21"/>
      <c r="F11" s="20"/>
      <c r="G11" s="23"/>
      <c r="H11" s="21"/>
    </row>
    <row r="12" spans="1:26" ht="6" hidden="1" customHeight="1">
      <c r="A12" s="20"/>
      <c r="B12" s="22"/>
      <c r="C12" s="20"/>
      <c r="D12" s="21"/>
      <c r="E12" s="21"/>
      <c r="F12" s="20"/>
      <c r="G12" s="23"/>
      <c r="H12" s="21"/>
    </row>
    <row r="13" spans="1:26">
      <c r="A13" s="178" t="s">
        <v>166</v>
      </c>
      <c r="B13" s="925">
        <f>SUM($B7:B12)</f>
        <v>0</v>
      </c>
      <c r="C13" s="925">
        <f>SUM($C7:C12)</f>
        <v>0</v>
      </c>
      <c r="D13" s="21"/>
      <c r="E13" s="21"/>
      <c r="F13" s="20"/>
      <c r="G13" s="23"/>
      <c r="H13" s="21"/>
    </row>
    <row r="14" spans="1:26">
      <c r="A14" s="20"/>
      <c r="B14" s="22"/>
      <c r="C14" s="21"/>
      <c r="D14" s="21"/>
      <c r="E14" s="21"/>
      <c r="F14" s="20"/>
      <c r="G14" s="23"/>
      <c r="H14" s="21"/>
    </row>
  </sheetData>
  <mergeCells count="1">
    <mergeCell ref="A4:B4"/>
  </mergeCells>
  <hyperlinks>
    <hyperlink ref="B1" location="ER!A1" display="ER" xr:uid="{876966EA-0885-4E56-88A7-83E23A55DCB1}"/>
  </hyperlinks>
  <pageMargins left="1.9685039370078741" right="1.7716535433070868" top="1.9685039370078741" bottom="0.74803149606299213" header="0.31496062992125984" footer="0.31496062992125984"/>
  <pageSetup scale="75" orientation="portrait" r:id="rId1"/>
  <ignoredErrors>
    <ignoredError sqref="B13:C13"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9"/>
  <dimension ref="A1:V11"/>
  <sheetViews>
    <sheetView showGridLines="0" workbookViewId="0">
      <selection activeCell="C7" sqref="C7"/>
    </sheetView>
  </sheetViews>
  <sheetFormatPr baseColWidth="10" defaultColWidth="11.42578125" defaultRowHeight="15"/>
  <cols>
    <col min="1" max="1" width="59.85546875" style="9" customWidth="1"/>
    <col min="2" max="2" width="18.140625" style="9" customWidth="1"/>
    <col min="3" max="3" width="17.28515625" style="9" customWidth="1"/>
    <col min="4" max="4" width="1.85546875" style="9" hidden="1" customWidth="1"/>
    <col min="5" max="5" width="11.42578125" style="9" hidden="1" customWidth="1"/>
    <col min="6" max="22" width="11.42578125" style="9"/>
  </cols>
  <sheetData>
    <row r="1" spans="1:8" ht="17.25" customHeight="1">
      <c r="A1" s="217" t="str">
        <f>Indice!C1</f>
        <v>NICOLAS GONZALEZ ODDONE S.A.E.C.A</v>
      </c>
      <c r="B1" s="631" t="s">
        <v>69</v>
      </c>
      <c r="C1" s="234"/>
      <c r="E1" s="16"/>
    </row>
    <row r="3" spans="1:8" ht="17.25" customHeight="1">
      <c r="A3" s="221" t="s">
        <v>926</v>
      </c>
      <c r="B3" s="221"/>
      <c r="C3" s="221"/>
      <c r="D3" s="53"/>
      <c r="E3" s="53"/>
      <c r="F3" s="20"/>
      <c r="G3" s="23"/>
      <c r="H3" s="21"/>
    </row>
    <row r="4" spans="1:8">
      <c r="A4" s="1005" t="s">
        <v>113</v>
      </c>
      <c r="B4" s="1005"/>
      <c r="C4" s="21"/>
      <c r="D4" s="21"/>
      <c r="E4" s="21"/>
      <c r="F4" s="20"/>
      <c r="G4" s="23"/>
      <c r="H4" s="21"/>
    </row>
    <row r="5" spans="1:8" ht="23.25">
      <c r="A5" s="268" t="s">
        <v>620</v>
      </c>
      <c r="D5" s="21"/>
      <c r="E5" s="21"/>
      <c r="F5" s="20"/>
      <c r="G5" s="23"/>
      <c r="H5" s="21"/>
    </row>
    <row r="6" spans="1:8" ht="13.5" customHeight="1">
      <c r="A6" s="809" t="s">
        <v>90</v>
      </c>
      <c r="B6" s="585">
        <v>44834</v>
      </c>
      <c r="C6" s="585">
        <v>44469</v>
      </c>
      <c r="D6" s="21"/>
      <c r="E6" s="21"/>
      <c r="F6" s="20"/>
      <c r="G6" s="23"/>
      <c r="H6" s="21"/>
    </row>
    <row r="7" spans="1:8">
      <c r="A7" s="178" t="s">
        <v>927</v>
      </c>
      <c r="B7" s="20"/>
      <c r="C7" s="20"/>
      <c r="D7" s="21"/>
      <c r="E7" s="21"/>
      <c r="F7" s="20"/>
      <c r="G7" s="23"/>
      <c r="H7" s="21"/>
    </row>
    <row r="8" spans="1:8">
      <c r="A8" s="178" t="s">
        <v>148</v>
      </c>
      <c r="B8" s="20"/>
      <c r="C8" s="20"/>
      <c r="D8" s="21"/>
      <c r="E8" s="21"/>
      <c r="F8" s="20"/>
      <c r="G8" s="23"/>
      <c r="H8" s="21"/>
    </row>
    <row r="9" spans="1:8">
      <c r="A9" s="333" t="s">
        <v>928</v>
      </c>
      <c r="B9" s="20"/>
      <c r="C9" s="20"/>
      <c r="D9" s="21"/>
      <c r="E9" s="21"/>
      <c r="F9" s="20"/>
      <c r="G9" s="23"/>
      <c r="H9" s="21"/>
    </row>
    <row r="10" spans="1:8">
      <c r="A10" s="178" t="s">
        <v>166</v>
      </c>
      <c r="B10" s="925">
        <f>SUM($B7:B9)</f>
        <v>0</v>
      </c>
      <c r="C10" s="925">
        <f>SUM($C7:C9)</f>
        <v>0</v>
      </c>
      <c r="D10" s="21"/>
      <c r="E10" s="21"/>
      <c r="F10" s="20"/>
      <c r="G10" s="23"/>
      <c r="H10" s="21"/>
    </row>
    <row r="11" spans="1:8">
      <c r="A11" s="20"/>
      <c r="B11" s="22"/>
      <c r="C11" s="21"/>
      <c r="D11" s="21"/>
      <c r="E11" s="21"/>
      <c r="F11" s="20"/>
      <c r="G11" s="23"/>
      <c r="H11" s="21"/>
    </row>
  </sheetData>
  <mergeCells count="1">
    <mergeCell ref="A4:B4"/>
  </mergeCells>
  <hyperlinks>
    <hyperlink ref="B1" location="ER!A1" display="ER" xr:uid="{90DC4811-92AF-46E2-AF8F-87D4905D1C94}"/>
  </hyperlinks>
  <pageMargins left="0.7" right="0.7" top="0.75" bottom="0.75" header="0.3" footer="0.3"/>
  <ignoredErrors>
    <ignoredError sqref="B10:C10" formulaRange="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0"/>
  <dimension ref="A1:N14"/>
  <sheetViews>
    <sheetView showGridLines="0" workbookViewId="0">
      <selection activeCell="B9" sqref="B9"/>
    </sheetView>
  </sheetViews>
  <sheetFormatPr baseColWidth="10" defaultColWidth="11.42578125" defaultRowHeight="15"/>
  <cols>
    <col min="1" max="1" width="43.85546875" style="9" customWidth="1"/>
    <col min="2" max="2" width="20.28515625" style="9" customWidth="1"/>
    <col min="3" max="3" width="19.140625" style="9" customWidth="1"/>
    <col min="4" max="4" width="2.85546875" style="9" hidden="1" customWidth="1"/>
    <col min="5" max="5" width="24.42578125" style="9" hidden="1" customWidth="1"/>
    <col min="6" max="6" width="12.85546875" style="9" hidden="1" customWidth="1"/>
    <col min="7" max="7" width="11.42578125" style="9" hidden="1" customWidth="1"/>
    <col min="8" max="8" width="17.28515625" style="9" hidden="1" customWidth="1"/>
    <col min="9" max="9" width="11.42578125" style="9" hidden="1" customWidth="1"/>
    <col min="10" max="10" width="11.42578125" style="9"/>
    <col min="11" max="11" width="14.7109375" style="9" bestFit="1" customWidth="1"/>
    <col min="12" max="14" width="11.42578125" style="9"/>
  </cols>
  <sheetData>
    <row r="1" spans="1:13" ht="17.25" customHeight="1">
      <c r="A1" s="217" t="str">
        <f>Indice!C1</f>
        <v>NICOLAS GONZALEZ ODDONE S.A.E.C.A</v>
      </c>
      <c r="B1" s="631" t="s">
        <v>69</v>
      </c>
      <c r="C1" s="234"/>
      <c r="E1" s="16" t="s">
        <v>69</v>
      </c>
    </row>
    <row r="3" spans="1:13" ht="16.5" customHeight="1">
      <c r="A3" s="217" t="s">
        <v>929</v>
      </c>
      <c r="B3" s="217"/>
      <c r="C3" s="217"/>
      <c r="D3" s="49"/>
      <c r="E3" s="49"/>
      <c r="F3" s="49"/>
      <c r="G3" s="49"/>
      <c r="H3" s="49"/>
      <c r="I3" s="49"/>
    </row>
    <row r="4" spans="1:13" ht="15" customHeight="1">
      <c r="B4" s="46"/>
    </row>
    <row r="5" spans="1:13" ht="15" customHeight="1">
      <c r="A5" s="908" t="s">
        <v>914</v>
      </c>
      <c r="B5" s="577">
        <v>44834</v>
      </c>
      <c r="C5" s="577">
        <v>44469</v>
      </c>
    </row>
    <row r="6" spans="1:13" s="9" customFormat="1" ht="15" customHeight="1">
      <c r="A6" s="100" t="s">
        <v>930</v>
      </c>
      <c r="B6" s="354">
        <v>4609256</v>
      </c>
      <c r="C6" s="354">
        <v>3792182</v>
      </c>
      <c r="D6" s="58"/>
      <c r="E6" s="58"/>
      <c r="F6" s="58"/>
      <c r="G6" s="58"/>
      <c r="H6" s="58"/>
      <c r="I6" s="58"/>
    </row>
    <row r="7" spans="1:13" s="9" customFormat="1" ht="15" customHeight="1">
      <c r="A7" s="100" t="s">
        <v>931</v>
      </c>
      <c r="B7" s="354">
        <v>1647648</v>
      </c>
      <c r="C7" s="354">
        <v>1355574</v>
      </c>
      <c r="D7" s="58"/>
      <c r="E7" s="58"/>
      <c r="F7" s="58"/>
      <c r="G7" s="58"/>
      <c r="H7" s="58"/>
      <c r="I7" s="58"/>
    </row>
    <row r="8" spans="1:13" s="9" customFormat="1" ht="15" customHeight="1">
      <c r="A8" s="100" t="s">
        <v>932</v>
      </c>
      <c r="B8" s="354">
        <v>1515324</v>
      </c>
      <c r="C8" s="354">
        <v>1201220</v>
      </c>
      <c r="D8" s="58"/>
      <c r="E8" s="58"/>
      <c r="F8" s="58"/>
      <c r="G8" s="58"/>
      <c r="H8" s="58"/>
      <c r="I8" s="58"/>
    </row>
    <row r="9" spans="1:13" s="9" customFormat="1" ht="15" customHeight="1">
      <c r="A9" s="353" t="s">
        <v>933</v>
      </c>
      <c r="B9" s="355">
        <f>SUM(B6:B8)</f>
        <v>7772228</v>
      </c>
      <c r="C9" s="355">
        <f>SUM(C6:C8)</f>
        <v>6348976</v>
      </c>
      <c r="D9" s="58"/>
      <c r="E9" s="58"/>
      <c r="F9" s="58"/>
      <c r="G9" s="58"/>
      <c r="H9" s="58"/>
      <c r="I9" s="58"/>
    </row>
    <row r="10" spans="1:13" ht="15" customHeight="1">
      <c r="A10" s="6" t="s">
        <v>934</v>
      </c>
      <c r="B10" s="771">
        <v>45517033401</v>
      </c>
      <c r="C10" s="771">
        <v>74115008613</v>
      </c>
    </row>
    <row r="11" spans="1:13" ht="18" customHeight="1">
      <c r="A11" s="160" t="s">
        <v>935</v>
      </c>
      <c r="B11" s="355">
        <f>IFERROR(B10/B9,0)</f>
        <v>5856.3687788109146</v>
      </c>
      <c r="C11" s="355">
        <f>IFERROR(C10/C9,0)</f>
        <v>11673.537372483373</v>
      </c>
      <c r="D11" s="58"/>
      <c r="E11" s="58"/>
      <c r="F11" s="58"/>
      <c r="G11" s="58"/>
      <c r="H11" s="58"/>
      <c r="I11" s="58"/>
      <c r="K11" s="62"/>
      <c r="L11" s="62"/>
    </row>
    <row r="12" spans="1:13" ht="12.75" customHeight="1">
      <c r="A12" s="94"/>
      <c r="B12" s="94"/>
      <c r="C12" s="94"/>
    </row>
    <row r="13" spans="1:13" ht="66.75" customHeight="1">
      <c r="A13" s="1006" t="s">
        <v>936</v>
      </c>
      <c r="B13" s="1006"/>
      <c r="C13" s="1006"/>
      <c r="D13" s="1006"/>
      <c r="E13" s="1006"/>
      <c r="F13" s="1006"/>
      <c r="G13" s="1006"/>
      <c r="H13"/>
      <c r="I13"/>
      <c r="J13"/>
      <c r="K13"/>
      <c r="L13"/>
      <c r="M13"/>
    </row>
    <row r="14" spans="1:13" ht="15" customHeight="1">
      <c r="A14" s="1007"/>
      <c r="B14" s="1007"/>
      <c r="C14" s="1007"/>
      <c r="D14" s="1007"/>
      <c r="E14" s="1007"/>
      <c r="F14" s="1007"/>
      <c r="G14" s="1007"/>
      <c r="H14"/>
      <c r="I14"/>
      <c r="J14"/>
      <c r="K14"/>
      <c r="L14"/>
      <c r="M14"/>
    </row>
  </sheetData>
  <mergeCells count="2">
    <mergeCell ref="A13:G13"/>
    <mergeCell ref="A14:G14"/>
  </mergeCells>
  <hyperlinks>
    <hyperlink ref="E1" location="ER!A1" display="ER" xr:uid="{00000000-0004-0000-2900-000000000000}"/>
    <hyperlink ref="B1" location="ER!A1" display="ER" xr:uid="{FBB21BC4-2A67-4D1A-A489-898359C3D506}"/>
  </hyperlinks>
  <pageMargins left="0.7" right="0.7" top="0.75" bottom="0.75" header="0.3" footer="0.3"/>
  <pageSetup paperSize="9" orientation="portrait" r:id="rId1"/>
  <ignoredErrors>
    <ignoredError sqref="B9:C9"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1"/>
  <dimension ref="A1:N59"/>
  <sheetViews>
    <sheetView showGridLines="0" topLeftCell="A16" workbookViewId="0">
      <selection activeCell="A7" sqref="A7"/>
    </sheetView>
  </sheetViews>
  <sheetFormatPr baseColWidth="10" defaultColWidth="11.42578125" defaultRowHeight="15"/>
  <cols>
    <col min="1" max="3" width="24.42578125" style="9" customWidth="1"/>
    <col min="4" max="4" width="27.140625" style="9" customWidth="1"/>
    <col min="5" max="5" width="24.42578125" style="9" customWidth="1"/>
    <col min="6" max="6" width="12.85546875" style="9" customWidth="1"/>
    <col min="7" max="7" width="11.42578125" style="9"/>
    <col min="8" max="8" width="17.28515625" style="9" customWidth="1"/>
    <col min="9" max="14" width="11.42578125" style="9"/>
  </cols>
  <sheetData>
    <row r="1" spans="1:14" ht="18" customHeight="1">
      <c r="A1" s="217" t="str">
        <f>Indice!C1</f>
        <v>NICOLAS GONZALEZ ODDONE S.A.E.C.A</v>
      </c>
      <c r="B1" s="277"/>
      <c r="D1" s="227" t="s">
        <v>110</v>
      </c>
      <c r="E1" s="234"/>
    </row>
    <row r="3" spans="1:14" ht="18" customHeight="1">
      <c r="A3" s="957" t="s">
        <v>937</v>
      </c>
      <c r="B3" s="957"/>
      <c r="C3" s="957"/>
      <c r="D3" s="957"/>
      <c r="E3" s="957"/>
      <c r="F3" s="50"/>
      <c r="G3" s="50"/>
      <c r="H3" s="50"/>
      <c r="I3" s="50"/>
      <c r="J3"/>
      <c r="K3"/>
      <c r="L3"/>
      <c r="M3"/>
      <c r="N3"/>
    </row>
    <row r="4" spans="1:14" ht="23.25">
      <c r="A4" s="268" t="s">
        <v>620</v>
      </c>
    </row>
    <row r="5" spans="1:14" s="27" customFormat="1">
      <c r="A5" s="1008" t="s">
        <v>938</v>
      </c>
      <c r="B5" s="1008"/>
      <c r="C5" s="1008"/>
      <c r="D5" s="1008"/>
      <c r="E5" s="1008"/>
      <c r="F5" s="1008"/>
      <c r="G5" s="1008"/>
      <c r="H5" s="1008"/>
      <c r="I5" s="1008"/>
      <c r="J5" s="26"/>
      <c r="K5" s="26"/>
      <c r="L5" s="26"/>
      <c r="M5" s="26"/>
      <c r="N5" s="26"/>
    </row>
    <row r="6" spans="1:14" s="27" customFormat="1">
      <c r="A6" s="26"/>
      <c r="B6" s="26"/>
      <c r="C6" s="26"/>
      <c r="D6" s="26"/>
      <c r="E6" s="26"/>
      <c r="F6" s="26"/>
      <c r="G6" s="26"/>
      <c r="H6" s="26"/>
      <c r="I6" s="26"/>
      <c r="J6" s="26"/>
      <c r="K6" s="26"/>
      <c r="L6" s="26"/>
      <c r="M6" s="26"/>
      <c r="N6" s="26"/>
    </row>
    <row r="7" spans="1:14" s="27" customFormat="1" ht="15.75" thickBot="1">
      <c r="A7" s="82" t="str">
        <f>IFERROR("Al "&amp;DAY(Indice!B3)&amp;" de "&amp;VLOOKUP(MONTH(Indice!B3),Indice!S:T,2,0)&amp;" de "&amp;YEAR(Indice!B3-365),"Al dia... de mes… de año…")</f>
        <v>Al dia... de mes… de año…</v>
      </c>
      <c r="B7" s="60"/>
      <c r="C7" s="60"/>
      <c r="D7" s="60"/>
      <c r="E7" s="60"/>
      <c r="F7" s="60"/>
      <c r="G7" s="60"/>
      <c r="H7" s="26"/>
      <c r="I7" s="26"/>
      <c r="J7" s="26"/>
      <c r="K7" s="26"/>
      <c r="L7" s="26"/>
      <c r="M7" s="26"/>
      <c r="N7" s="26"/>
    </row>
    <row r="8" spans="1:14" s="27" customFormat="1" ht="15.75" thickBot="1">
      <c r="A8" s="330" t="s">
        <v>939</v>
      </c>
      <c r="B8" s="331" t="s">
        <v>940</v>
      </c>
      <c r="C8" s="330" t="s">
        <v>941</v>
      </c>
      <c r="D8" s="330" t="s">
        <v>942</v>
      </c>
      <c r="E8" s="330" t="s">
        <v>943</v>
      </c>
      <c r="F8" s="26"/>
      <c r="G8" s="26"/>
      <c r="H8" s="26"/>
      <c r="I8" s="26"/>
      <c r="J8" s="26"/>
      <c r="K8" s="26"/>
      <c r="L8" s="26"/>
      <c r="M8" s="26"/>
      <c r="N8" s="26"/>
    </row>
    <row r="9" spans="1:14" s="27" customFormat="1">
      <c r="A9" s="28"/>
      <c r="B9" s="29"/>
      <c r="C9" s="30"/>
      <c r="D9" s="30"/>
      <c r="E9" s="31"/>
      <c r="F9" s="26"/>
      <c r="G9" s="26"/>
      <c r="H9" s="26"/>
      <c r="I9" s="26"/>
      <c r="J9" s="26"/>
      <c r="K9" s="26"/>
      <c r="L9" s="26"/>
      <c r="M9" s="26"/>
      <c r="N9" s="26"/>
    </row>
    <row r="10" spans="1:14" s="27" customFormat="1" ht="15" customHeight="1">
      <c r="A10" s="32"/>
      <c r="B10" s="33"/>
      <c r="C10" s="34"/>
      <c r="D10" s="34"/>
      <c r="E10" s="35"/>
      <c r="F10" s="26"/>
      <c r="G10" s="26"/>
      <c r="H10" s="26"/>
      <c r="I10" s="26"/>
      <c r="J10" s="26"/>
      <c r="K10" s="26"/>
      <c r="L10" s="26"/>
      <c r="M10" s="26"/>
      <c r="N10" s="26"/>
    </row>
    <row r="11" spans="1:14" s="27" customFormat="1">
      <c r="A11" s="32"/>
      <c r="B11" s="33"/>
      <c r="C11" s="34"/>
      <c r="D11" s="34"/>
      <c r="E11" s="35"/>
      <c r="F11" s="26"/>
      <c r="G11" s="26"/>
      <c r="H11" s="26"/>
      <c r="I11" s="26"/>
      <c r="J11" s="26"/>
      <c r="K11" s="26"/>
      <c r="L11" s="26"/>
      <c r="M11" s="26"/>
      <c r="N11" s="26"/>
    </row>
    <row r="12" spans="1:14" s="27" customFormat="1" ht="15.75" thickBot="1">
      <c r="A12" s="36"/>
      <c r="B12" s="37"/>
      <c r="C12" s="38"/>
      <c r="D12" s="38"/>
      <c r="E12" s="39"/>
      <c r="F12" s="26"/>
      <c r="G12" s="26"/>
      <c r="H12" s="26"/>
      <c r="I12" s="26"/>
      <c r="J12" s="26"/>
      <c r="K12" s="26"/>
      <c r="L12" s="26"/>
      <c r="M12" s="26"/>
      <c r="N12" s="26"/>
    </row>
    <row r="13" spans="1:14" s="27" customFormat="1">
      <c r="A13" s="100"/>
      <c r="B13" s="100"/>
      <c r="C13" s="100"/>
      <c r="D13" s="100"/>
      <c r="E13" s="100"/>
      <c r="F13" s="26"/>
      <c r="G13" s="26"/>
      <c r="H13" s="26"/>
      <c r="I13" s="26"/>
      <c r="J13" s="26"/>
      <c r="K13" s="26"/>
      <c r="L13" s="26"/>
      <c r="M13" s="26"/>
      <c r="N13" s="26"/>
    </row>
    <row r="14" spans="1:14" s="27" customFormat="1" ht="15.75" thickBot="1">
      <c r="A14" s="82" t="str">
        <f>IFERROR("Al "&amp;DAY(Indice!B3)&amp;" de "&amp;VLOOKUP(MONTH(Indice!B3),Indice!S:T,2,0)&amp;" de "&amp;YEAR(Indice!B3-1),"Al dia... de mes… de año …")</f>
        <v>Al dia... de mes… de año …</v>
      </c>
      <c r="B14" s="332"/>
      <c r="C14" s="332"/>
      <c r="D14" s="332"/>
      <c r="E14" s="332"/>
      <c r="F14" s="26"/>
      <c r="G14" s="26"/>
      <c r="H14" s="26"/>
      <c r="I14" s="26"/>
      <c r="J14" s="26"/>
      <c r="K14" s="26"/>
      <c r="L14" s="26"/>
      <c r="M14" s="26"/>
      <c r="N14" s="26"/>
    </row>
    <row r="15" spans="1:14" s="27" customFormat="1" ht="28.5" customHeight="1" thickBot="1">
      <c r="A15" s="330" t="s">
        <v>939</v>
      </c>
      <c r="B15" s="331" t="s">
        <v>940</v>
      </c>
      <c r="C15" s="330" t="s">
        <v>941</v>
      </c>
      <c r="D15" s="330" t="s">
        <v>942</v>
      </c>
      <c r="E15" s="330" t="s">
        <v>943</v>
      </c>
      <c r="F15" s="26"/>
      <c r="G15" s="26"/>
      <c r="H15" s="26"/>
      <c r="I15" s="26"/>
      <c r="J15" s="26"/>
      <c r="K15" s="26"/>
      <c r="L15" s="26"/>
      <c r="M15" s="26"/>
      <c r="N15" s="26"/>
    </row>
    <row r="16" spans="1:14" s="27" customFormat="1">
      <c r="A16" s="28"/>
      <c r="B16" s="29"/>
      <c r="C16" s="30"/>
      <c r="D16" s="30"/>
      <c r="E16" s="31"/>
      <c r="F16" s="26"/>
      <c r="G16" s="26"/>
      <c r="H16" s="26"/>
      <c r="I16" s="26"/>
      <c r="J16" s="26"/>
      <c r="K16" s="26"/>
      <c r="L16" s="26"/>
      <c r="M16" s="26"/>
      <c r="N16" s="26"/>
    </row>
    <row r="17" spans="1:14" s="27" customFormat="1">
      <c r="A17" s="32"/>
      <c r="B17" s="33"/>
      <c r="C17" s="34"/>
      <c r="D17" s="34"/>
      <c r="E17" s="35"/>
      <c r="F17" s="26"/>
      <c r="G17" s="26"/>
      <c r="H17" s="26"/>
      <c r="I17" s="26"/>
      <c r="J17" s="26"/>
      <c r="K17" s="26"/>
      <c r="L17" s="26"/>
      <c r="M17" s="26"/>
      <c r="N17" s="26"/>
    </row>
    <row r="18" spans="1:14" s="27" customFormat="1">
      <c r="A18" s="32"/>
      <c r="B18" s="33"/>
      <c r="C18" s="34"/>
      <c r="D18" s="34"/>
      <c r="E18" s="35"/>
      <c r="F18" s="26"/>
      <c r="G18" s="26"/>
      <c r="H18" s="26"/>
      <c r="I18" s="26"/>
      <c r="J18" s="26"/>
      <c r="K18" s="26"/>
      <c r="L18" s="26"/>
      <c r="M18" s="26"/>
      <c r="N18" s="26"/>
    </row>
    <row r="19" spans="1:14" s="27" customFormat="1" ht="15.75" thickBot="1">
      <c r="A19" s="36"/>
      <c r="B19" s="37"/>
      <c r="C19" s="38"/>
      <c r="D19" s="38"/>
      <c r="E19" s="39"/>
      <c r="F19" s="26"/>
      <c r="G19" s="26"/>
      <c r="H19" s="26"/>
      <c r="I19" s="26"/>
      <c r="J19" s="26"/>
      <c r="K19" s="26"/>
      <c r="L19" s="26"/>
      <c r="M19" s="26"/>
      <c r="N19" s="26"/>
    </row>
    <row r="20" spans="1:14" s="27" customFormat="1">
      <c r="A20" s="26"/>
      <c r="B20" s="26"/>
      <c r="C20" s="26"/>
      <c r="D20" s="26"/>
      <c r="E20" s="26"/>
      <c r="F20" s="26"/>
      <c r="G20" s="26"/>
      <c r="H20" s="26"/>
      <c r="I20" s="26"/>
      <c r="J20" s="26"/>
      <c r="K20" s="26"/>
      <c r="L20" s="26"/>
      <c r="M20" s="26"/>
      <c r="N20" s="26"/>
    </row>
    <row r="21" spans="1:14" s="27" customFormat="1">
      <c r="A21" s="26"/>
      <c r="B21" s="26"/>
      <c r="C21" s="26"/>
      <c r="D21" s="26"/>
      <c r="E21" s="26"/>
      <c r="F21" s="26"/>
      <c r="G21" s="26"/>
      <c r="H21" s="26"/>
      <c r="I21" s="26"/>
      <c r="J21" s="26"/>
      <c r="K21" s="26"/>
      <c r="L21" s="26"/>
      <c r="M21" s="26"/>
      <c r="N21" s="26"/>
    </row>
    <row r="22" spans="1:14" s="27" customFormat="1">
      <c r="A22" s="26"/>
      <c r="B22" s="26"/>
      <c r="C22" s="26"/>
      <c r="D22" s="26"/>
      <c r="E22" s="26"/>
      <c r="F22" s="26"/>
      <c r="G22" s="26"/>
      <c r="H22" s="26"/>
      <c r="I22" s="26"/>
      <c r="J22" s="26"/>
      <c r="K22" s="26"/>
      <c r="L22" s="26"/>
      <c r="M22" s="26"/>
      <c r="N22" s="26"/>
    </row>
    <row r="23" spans="1:14" s="27" customFormat="1">
      <c r="A23" s="26"/>
      <c r="B23" s="26"/>
      <c r="C23" s="26"/>
      <c r="D23" s="26"/>
      <c r="E23" s="26"/>
      <c r="F23" s="26"/>
      <c r="G23" s="26"/>
      <c r="H23" s="26"/>
      <c r="I23" s="26"/>
      <c r="J23" s="26"/>
      <c r="K23" s="26"/>
      <c r="L23" s="26"/>
      <c r="M23" s="26"/>
      <c r="N23" s="26"/>
    </row>
    <row r="24" spans="1:14" s="27" customFormat="1">
      <c r="A24" s="26"/>
      <c r="B24" s="26"/>
      <c r="C24" s="26"/>
      <c r="D24" s="26"/>
      <c r="E24" s="26"/>
      <c r="F24" s="26"/>
      <c r="G24" s="26"/>
      <c r="H24" s="26"/>
      <c r="I24" s="26"/>
      <c r="J24" s="26"/>
      <c r="K24" s="26"/>
      <c r="L24" s="26"/>
      <c r="M24" s="26"/>
      <c r="N24" s="26"/>
    </row>
    <row r="25" spans="1:14" s="27" customFormat="1">
      <c r="A25" s="26"/>
      <c r="B25" s="26"/>
      <c r="C25" s="26"/>
      <c r="D25" s="26"/>
      <c r="E25" s="26"/>
      <c r="F25" s="26"/>
      <c r="G25" s="26"/>
      <c r="H25" s="26"/>
      <c r="I25" s="26"/>
      <c r="J25" s="26"/>
      <c r="K25" s="26"/>
      <c r="L25" s="26"/>
      <c r="M25" s="26"/>
      <c r="N25" s="26"/>
    </row>
    <row r="26" spans="1:14" s="27" customFormat="1">
      <c r="A26" s="26"/>
      <c r="B26" s="26"/>
      <c r="C26" s="26"/>
      <c r="D26" s="26"/>
      <c r="E26" s="26"/>
      <c r="F26" s="26"/>
      <c r="G26" s="26"/>
      <c r="H26" s="26"/>
      <c r="I26" s="26"/>
      <c r="J26" s="26"/>
      <c r="K26" s="26"/>
      <c r="L26" s="26"/>
      <c r="M26" s="26"/>
      <c r="N26" s="26"/>
    </row>
    <row r="27" spans="1:14" s="27" customFormat="1">
      <c r="A27" s="26"/>
      <c r="B27" s="26"/>
      <c r="C27" s="26"/>
      <c r="D27" s="26"/>
      <c r="E27" s="26"/>
      <c r="F27" s="26"/>
      <c r="G27" s="26"/>
      <c r="H27" s="26"/>
      <c r="I27" s="26"/>
      <c r="J27" s="26"/>
      <c r="K27" s="26"/>
      <c r="L27" s="26"/>
      <c r="M27" s="26"/>
      <c r="N27" s="26"/>
    </row>
    <row r="28" spans="1:14" s="27" customFormat="1">
      <c r="A28" s="26"/>
      <c r="B28" s="26"/>
      <c r="C28" s="26"/>
      <c r="D28" s="26"/>
      <c r="E28" s="26"/>
      <c r="F28" s="26"/>
      <c r="G28" s="26"/>
      <c r="H28" s="26"/>
      <c r="I28" s="26"/>
      <c r="J28" s="26"/>
      <c r="K28" s="26"/>
      <c r="L28" s="26"/>
      <c r="M28" s="26"/>
      <c r="N28" s="26"/>
    </row>
    <row r="29" spans="1:14" s="27" customFormat="1">
      <c r="A29" s="26"/>
      <c r="B29" s="26"/>
      <c r="C29" s="26"/>
      <c r="D29" s="26"/>
      <c r="E29" s="26"/>
      <c r="F29" s="26"/>
      <c r="G29" s="26"/>
      <c r="H29" s="26"/>
      <c r="I29" s="26"/>
      <c r="J29" s="26"/>
      <c r="K29" s="26"/>
      <c r="L29" s="26"/>
      <c r="M29" s="26"/>
      <c r="N29" s="26"/>
    </row>
    <row r="30" spans="1:14" s="27" customFormat="1">
      <c r="A30" s="26"/>
      <c r="B30" s="26"/>
      <c r="C30" s="26"/>
      <c r="D30" s="26"/>
      <c r="E30" s="26"/>
      <c r="F30" s="26"/>
      <c r="G30" s="26"/>
      <c r="H30" s="26"/>
      <c r="I30" s="26"/>
      <c r="J30" s="26"/>
      <c r="K30" s="26"/>
      <c r="L30" s="26"/>
      <c r="M30" s="26"/>
      <c r="N30" s="26"/>
    </row>
    <row r="31" spans="1:14" s="27" customFormat="1">
      <c r="A31" s="26"/>
      <c r="B31" s="26"/>
      <c r="C31" s="26"/>
      <c r="D31" s="26"/>
      <c r="E31" s="26"/>
      <c r="F31" s="26"/>
      <c r="G31" s="26"/>
      <c r="H31" s="26"/>
      <c r="I31" s="26"/>
      <c r="J31" s="26"/>
      <c r="K31" s="26"/>
      <c r="L31" s="26"/>
      <c r="M31" s="26"/>
      <c r="N31" s="26"/>
    </row>
    <row r="32" spans="1:14" s="27" customFormat="1">
      <c r="A32" s="26"/>
      <c r="B32" s="26"/>
      <c r="C32" s="26"/>
      <c r="D32" s="26"/>
      <c r="E32" s="26"/>
      <c r="F32" s="26"/>
      <c r="G32" s="26"/>
      <c r="H32" s="26"/>
      <c r="I32" s="26"/>
      <c r="J32" s="26"/>
      <c r="K32" s="26"/>
      <c r="L32" s="26"/>
      <c r="M32" s="26"/>
      <c r="N32" s="26"/>
    </row>
    <row r="33" spans="1:14" s="27" customFormat="1">
      <c r="A33" s="26"/>
      <c r="B33" s="26"/>
      <c r="C33" s="26"/>
      <c r="D33" s="26"/>
      <c r="E33" s="26"/>
      <c r="F33" s="26"/>
      <c r="G33" s="26"/>
      <c r="H33" s="26"/>
      <c r="I33" s="26"/>
      <c r="J33" s="26"/>
      <c r="K33" s="26"/>
      <c r="L33" s="26"/>
      <c r="M33" s="26"/>
      <c r="N33" s="26"/>
    </row>
    <row r="34" spans="1:14" s="27" customFormat="1">
      <c r="A34" s="26"/>
      <c r="B34" s="26"/>
      <c r="C34" s="26"/>
      <c r="D34" s="26"/>
      <c r="E34" s="26"/>
      <c r="F34" s="26"/>
      <c r="G34" s="26"/>
      <c r="H34" s="26"/>
      <c r="I34" s="26"/>
      <c r="J34" s="26"/>
      <c r="K34" s="26"/>
      <c r="L34" s="26"/>
      <c r="M34" s="26"/>
      <c r="N34" s="26"/>
    </row>
    <row r="35" spans="1:14" s="27" customFormat="1">
      <c r="A35" s="26"/>
      <c r="B35" s="26"/>
      <c r="C35" s="26"/>
      <c r="D35" s="26"/>
      <c r="E35" s="26"/>
      <c r="F35" s="26"/>
      <c r="G35" s="26"/>
      <c r="H35" s="26"/>
      <c r="I35" s="26"/>
      <c r="J35" s="26"/>
      <c r="K35" s="26"/>
      <c r="L35" s="26"/>
      <c r="M35" s="26"/>
      <c r="N35" s="26"/>
    </row>
    <row r="36" spans="1:14" s="27" customFormat="1">
      <c r="A36" s="26"/>
      <c r="B36" s="26"/>
      <c r="C36" s="26"/>
      <c r="D36" s="26"/>
      <c r="E36" s="26"/>
      <c r="F36" s="26"/>
      <c r="G36" s="26"/>
      <c r="H36" s="26"/>
      <c r="I36" s="26"/>
      <c r="J36" s="26"/>
      <c r="K36" s="26"/>
      <c r="L36" s="26"/>
      <c r="M36" s="26"/>
      <c r="N36" s="26"/>
    </row>
    <row r="37" spans="1:14" s="27" customFormat="1">
      <c r="A37" s="26"/>
      <c r="B37" s="26"/>
      <c r="C37" s="26"/>
      <c r="D37" s="26"/>
      <c r="E37" s="26"/>
      <c r="F37" s="26"/>
      <c r="G37" s="26"/>
      <c r="H37" s="26"/>
      <c r="I37" s="26"/>
      <c r="J37" s="26"/>
      <c r="K37" s="26"/>
      <c r="L37" s="26"/>
      <c r="M37" s="26"/>
      <c r="N37" s="26"/>
    </row>
    <row r="38" spans="1:14" s="27" customFormat="1">
      <c r="A38" s="26"/>
      <c r="B38" s="26"/>
      <c r="C38" s="26"/>
      <c r="D38" s="26"/>
      <c r="E38" s="26"/>
      <c r="F38" s="26"/>
      <c r="G38" s="26"/>
      <c r="H38" s="26"/>
      <c r="I38" s="26"/>
      <c r="J38" s="26"/>
      <c r="K38" s="26"/>
      <c r="L38" s="26"/>
      <c r="M38" s="26"/>
      <c r="N38" s="26"/>
    </row>
    <row r="39" spans="1:14" s="27" customFormat="1">
      <c r="A39" s="26"/>
      <c r="B39" s="26"/>
      <c r="C39" s="26"/>
      <c r="D39" s="26"/>
      <c r="E39" s="26"/>
      <c r="F39" s="26"/>
      <c r="G39" s="26"/>
      <c r="H39" s="26"/>
      <c r="I39" s="26"/>
      <c r="J39" s="26"/>
      <c r="K39" s="26"/>
      <c r="L39" s="26"/>
      <c r="M39" s="26"/>
      <c r="N39" s="26"/>
    </row>
    <row r="40" spans="1:14" s="27" customFormat="1">
      <c r="A40" s="26"/>
      <c r="B40" s="26"/>
      <c r="C40" s="26"/>
      <c r="D40" s="26"/>
      <c r="E40" s="26"/>
      <c r="F40" s="26"/>
      <c r="G40" s="26"/>
      <c r="H40" s="26"/>
      <c r="I40" s="26"/>
      <c r="J40" s="26"/>
      <c r="K40" s="26"/>
      <c r="L40" s="26"/>
      <c r="M40" s="26"/>
      <c r="N40" s="26"/>
    </row>
    <row r="41" spans="1:14" s="27" customFormat="1">
      <c r="A41" s="26"/>
      <c r="B41" s="26"/>
      <c r="C41" s="26"/>
      <c r="D41" s="26"/>
      <c r="E41" s="26"/>
      <c r="F41" s="26"/>
      <c r="G41" s="26"/>
      <c r="H41" s="26"/>
      <c r="I41" s="26"/>
      <c r="J41" s="26"/>
      <c r="K41" s="26"/>
      <c r="L41" s="26"/>
      <c r="M41" s="26"/>
      <c r="N41" s="26"/>
    </row>
    <row r="42" spans="1:14" s="27" customFormat="1">
      <c r="A42" s="26"/>
      <c r="B42" s="26"/>
      <c r="C42" s="26"/>
      <c r="D42" s="26"/>
      <c r="E42" s="26"/>
      <c r="F42" s="26"/>
      <c r="G42" s="26"/>
      <c r="H42" s="26"/>
      <c r="I42" s="26"/>
      <c r="J42" s="26"/>
      <c r="K42" s="26"/>
      <c r="L42" s="26"/>
      <c r="M42" s="26"/>
      <c r="N42" s="26"/>
    </row>
    <row r="43" spans="1:14" s="27" customFormat="1">
      <c r="A43" s="26"/>
      <c r="B43" s="26"/>
      <c r="C43" s="26"/>
      <c r="D43" s="26"/>
      <c r="E43" s="26"/>
      <c r="F43" s="26"/>
      <c r="G43" s="26"/>
      <c r="H43" s="26"/>
      <c r="I43" s="26"/>
      <c r="J43" s="26"/>
      <c r="K43" s="26"/>
      <c r="L43" s="26"/>
      <c r="M43" s="26"/>
      <c r="N43" s="26"/>
    </row>
    <row r="44" spans="1:14" s="27" customFormat="1">
      <c r="A44" s="26"/>
      <c r="B44" s="26"/>
      <c r="C44" s="26"/>
      <c r="D44" s="26"/>
      <c r="E44" s="26"/>
      <c r="F44" s="26"/>
      <c r="G44" s="26"/>
      <c r="H44" s="26"/>
      <c r="I44" s="26"/>
      <c r="J44" s="26"/>
      <c r="K44" s="26"/>
      <c r="L44" s="26"/>
      <c r="M44" s="26"/>
      <c r="N44" s="26"/>
    </row>
    <row r="45" spans="1:14" s="27" customFormat="1">
      <c r="A45" s="26"/>
      <c r="B45" s="26"/>
      <c r="C45" s="26"/>
      <c r="D45" s="26"/>
      <c r="E45" s="26"/>
      <c r="F45" s="26"/>
      <c r="G45" s="26"/>
      <c r="H45" s="26"/>
      <c r="I45" s="26"/>
      <c r="J45" s="26"/>
      <c r="K45" s="26"/>
      <c r="L45" s="26"/>
      <c r="M45" s="26"/>
      <c r="N45" s="26"/>
    </row>
    <row r="46" spans="1:14" s="27" customFormat="1">
      <c r="A46" s="26"/>
      <c r="B46" s="26"/>
      <c r="C46" s="26"/>
      <c r="D46" s="26"/>
      <c r="E46" s="26"/>
      <c r="F46" s="26"/>
      <c r="G46" s="26"/>
      <c r="H46" s="26"/>
      <c r="I46" s="26"/>
      <c r="J46" s="26"/>
      <c r="K46" s="26"/>
      <c r="L46" s="26"/>
      <c r="M46" s="26"/>
      <c r="N46" s="26"/>
    </row>
    <row r="47" spans="1:14" s="27" customFormat="1">
      <c r="A47" s="26"/>
      <c r="B47" s="26"/>
      <c r="C47" s="26"/>
      <c r="D47" s="26"/>
      <c r="E47" s="26"/>
      <c r="F47" s="26"/>
      <c r="G47" s="26"/>
      <c r="H47" s="26"/>
      <c r="I47" s="26"/>
      <c r="J47" s="26"/>
      <c r="K47" s="26"/>
      <c r="L47" s="26"/>
      <c r="M47" s="26"/>
      <c r="N47" s="26"/>
    </row>
    <row r="48" spans="1:14" s="27" customFormat="1">
      <c r="A48" s="26"/>
      <c r="B48" s="26"/>
      <c r="C48" s="26"/>
      <c r="D48" s="26"/>
      <c r="E48" s="26"/>
      <c r="F48" s="26"/>
      <c r="G48" s="26"/>
      <c r="H48" s="26"/>
      <c r="I48" s="26"/>
      <c r="J48" s="26"/>
      <c r="K48" s="26"/>
      <c r="L48" s="26"/>
      <c r="M48" s="26"/>
      <c r="N48" s="26"/>
    </row>
    <row r="49" spans="1:14" s="27" customFormat="1">
      <c r="A49" s="26"/>
      <c r="B49" s="26"/>
      <c r="C49" s="26"/>
      <c r="D49" s="26"/>
      <c r="E49" s="26"/>
      <c r="F49" s="26"/>
      <c r="G49" s="26"/>
      <c r="H49" s="26"/>
      <c r="I49" s="26"/>
      <c r="J49" s="26"/>
      <c r="K49" s="26"/>
      <c r="L49" s="26"/>
      <c r="M49" s="26"/>
      <c r="N49" s="26"/>
    </row>
    <row r="50" spans="1:14" s="27" customFormat="1">
      <c r="A50" s="26"/>
      <c r="B50" s="26"/>
      <c r="C50" s="26"/>
      <c r="D50" s="26"/>
      <c r="E50" s="26"/>
      <c r="F50" s="26"/>
      <c r="G50" s="26"/>
      <c r="H50" s="26"/>
      <c r="I50" s="26"/>
      <c r="J50" s="26"/>
      <c r="K50" s="26"/>
      <c r="L50" s="26"/>
      <c r="M50" s="26"/>
      <c r="N50" s="26"/>
    </row>
    <row r="51" spans="1:14" s="27" customFormat="1">
      <c r="A51" s="26"/>
      <c r="B51" s="26"/>
      <c r="C51" s="26"/>
      <c r="D51" s="26"/>
      <c r="E51" s="26"/>
      <c r="F51" s="26"/>
      <c r="G51" s="26"/>
      <c r="H51" s="26"/>
      <c r="I51" s="26"/>
      <c r="J51" s="26"/>
      <c r="K51" s="26"/>
      <c r="L51" s="26"/>
      <c r="M51" s="26"/>
      <c r="N51" s="26"/>
    </row>
    <row r="52" spans="1:14" s="27" customFormat="1">
      <c r="A52" s="26"/>
      <c r="B52" s="26"/>
      <c r="C52" s="26"/>
      <c r="D52" s="26"/>
      <c r="E52" s="26"/>
      <c r="F52" s="26"/>
      <c r="G52" s="26"/>
      <c r="H52" s="26"/>
      <c r="I52" s="26"/>
      <c r="J52" s="26"/>
      <c r="K52" s="26"/>
      <c r="L52" s="26"/>
      <c r="M52" s="26"/>
      <c r="N52" s="26"/>
    </row>
    <row r="53" spans="1:14" s="27" customFormat="1">
      <c r="A53" s="26"/>
      <c r="B53" s="26"/>
      <c r="C53" s="26"/>
      <c r="D53" s="26"/>
      <c r="E53" s="26"/>
      <c r="F53" s="26"/>
      <c r="G53" s="26"/>
      <c r="H53" s="26"/>
      <c r="I53" s="26"/>
      <c r="J53" s="26"/>
      <c r="K53" s="26"/>
      <c r="L53" s="26"/>
      <c r="M53" s="26"/>
      <c r="N53" s="26"/>
    </row>
    <row r="54" spans="1:14" s="27" customFormat="1">
      <c r="A54" s="26"/>
      <c r="B54" s="26"/>
      <c r="C54" s="26"/>
      <c r="D54" s="26"/>
      <c r="E54" s="26"/>
      <c r="F54" s="26"/>
      <c r="G54" s="26"/>
      <c r="H54" s="26"/>
      <c r="I54" s="26"/>
      <c r="J54" s="26"/>
      <c r="K54" s="26"/>
      <c r="L54" s="26"/>
      <c r="M54" s="26"/>
      <c r="N54" s="26"/>
    </row>
    <row r="55" spans="1:14" s="27" customFormat="1">
      <c r="A55" s="26"/>
      <c r="B55" s="26"/>
      <c r="C55" s="26"/>
      <c r="D55" s="26"/>
      <c r="E55" s="26"/>
      <c r="F55" s="26"/>
      <c r="G55" s="26"/>
      <c r="H55" s="26"/>
      <c r="I55" s="26"/>
      <c r="J55" s="26"/>
      <c r="K55" s="26"/>
      <c r="L55" s="26"/>
      <c r="M55" s="26"/>
      <c r="N55" s="26"/>
    </row>
    <row r="56" spans="1:14" s="27" customFormat="1">
      <c r="A56" s="26"/>
      <c r="B56" s="26"/>
      <c r="C56" s="26"/>
      <c r="D56" s="26"/>
      <c r="E56" s="26"/>
      <c r="F56" s="26"/>
      <c r="G56" s="26"/>
      <c r="H56" s="26"/>
      <c r="I56" s="26"/>
      <c r="J56" s="26"/>
      <c r="K56" s="26"/>
      <c r="L56" s="26"/>
      <c r="M56" s="26"/>
      <c r="N56" s="26"/>
    </row>
    <row r="57" spans="1:14" s="27" customFormat="1">
      <c r="A57" s="26"/>
      <c r="B57" s="26"/>
      <c r="C57" s="26"/>
      <c r="D57" s="26"/>
      <c r="E57" s="26"/>
      <c r="F57" s="26"/>
      <c r="G57" s="26"/>
      <c r="H57" s="26"/>
      <c r="I57" s="26"/>
      <c r="J57" s="26"/>
      <c r="K57" s="26"/>
      <c r="L57" s="26"/>
      <c r="M57" s="26"/>
      <c r="N57" s="26"/>
    </row>
    <row r="58" spans="1:14" s="27" customFormat="1">
      <c r="A58" s="26"/>
      <c r="B58" s="26"/>
      <c r="C58" s="26"/>
      <c r="D58" s="26"/>
      <c r="E58" s="26"/>
      <c r="F58" s="26"/>
      <c r="G58" s="26"/>
      <c r="H58" s="26"/>
      <c r="I58" s="26"/>
      <c r="J58" s="26"/>
      <c r="K58" s="26"/>
      <c r="L58" s="26"/>
      <c r="M58" s="26"/>
      <c r="N58" s="26"/>
    </row>
    <row r="59" spans="1:14" s="27" customFormat="1">
      <c r="A59" s="26"/>
      <c r="B59" s="26"/>
      <c r="C59" s="26"/>
      <c r="D59" s="26"/>
      <c r="E59" s="26"/>
      <c r="F59" s="26"/>
      <c r="G59" s="26"/>
      <c r="H59" s="26"/>
      <c r="I59" s="26"/>
      <c r="J59" s="26"/>
      <c r="K59" s="26"/>
      <c r="L59" s="26"/>
      <c r="M59" s="26"/>
      <c r="N59" s="26"/>
    </row>
  </sheetData>
  <mergeCells count="2">
    <mergeCell ref="A5:I5"/>
    <mergeCell ref="A3:E3"/>
  </mergeCells>
  <hyperlinks>
    <hyperlink ref="D1" location="Indice!A1" display="Indice" xr:uid="{00000000-0004-0000-2A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2"/>
  <dimension ref="A1:N15"/>
  <sheetViews>
    <sheetView showGridLines="0" workbookViewId="0">
      <selection activeCell="A13" sqref="A13"/>
    </sheetView>
  </sheetViews>
  <sheetFormatPr baseColWidth="10" defaultColWidth="11.42578125" defaultRowHeight="15"/>
  <cols>
    <col min="1" max="1" width="28.140625" style="9" customWidth="1"/>
    <col min="2" max="4" width="24.42578125" style="9" customWidth="1"/>
    <col min="5" max="5" width="6.85546875" style="9" customWidth="1"/>
    <col min="6" max="6" width="12.85546875" style="9" hidden="1" customWidth="1"/>
    <col min="7" max="7" width="11.28515625" style="9" hidden="1" customWidth="1"/>
    <col min="8" max="8" width="17.28515625" style="9" hidden="1" customWidth="1"/>
    <col min="9" max="14" width="11.42578125" style="9"/>
  </cols>
  <sheetData>
    <row r="1" spans="1:14" ht="17.25" customHeight="1">
      <c r="A1" s="217" t="str">
        <f>Indice!C1</f>
        <v>NICOLAS GONZALEZ ODDONE S.A.E.C.A</v>
      </c>
      <c r="B1" s="217"/>
      <c r="D1" s="227" t="s">
        <v>110</v>
      </c>
      <c r="E1" s="16"/>
    </row>
    <row r="3" spans="1:14" ht="18.75" customHeight="1">
      <c r="A3" s="217" t="s">
        <v>944</v>
      </c>
      <c r="B3" s="217"/>
      <c r="C3" s="217"/>
      <c r="D3" s="217"/>
      <c r="E3" s="217"/>
      <c r="F3" s="49"/>
      <c r="G3" s="49"/>
      <c r="H3" s="49"/>
      <c r="I3" s="50"/>
    </row>
    <row r="4" spans="1:14" ht="23.25">
      <c r="A4" s="268" t="s">
        <v>620</v>
      </c>
      <c r="B4" s="145"/>
      <c r="C4" s="145"/>
      <c r="D4" s="145"/>
      <c r="E4" s="145"/>
      <c r="F4" s="50"/>
      <c r="G4" s="50"/>
      <c r="H4" s="50"/>
      <c r="I4" s="50"/>
    </row>
    <row r="5" spans="1:14" ht="27.75" customHeight="1">
      <c r="A5" s="1010" t="s">
        <v>945</v>
      </c>
      <c r="B5" s="1010"/>
      <c r="C5" s="1010"/>
      <c r="D5" s="1010"/>
      <c r="E5" s="1010"/>
      <c r="F5" s="1010"/>
      <c r="G5" s="1010"/>
      <c r="H5" s="1010"/>
      <c r="I5" s="1010"/>
    </row>
    <row r="6" spans="1:14" s="27" customFormat="1" ht="15" customHeight="1">
      <c r="A6" s="1008" t="str">
        <f>IFERROR("Los principales contratos suscriptos por la Sociedad, vigentes al  "&amp;DAY(Indice!B3)&amp;" de "&amp;VLOOKUP(MONTH(Indice!B3),Indice!S:T,2,0)&amp;" de "&amp;YEAR(Indice!B3-1)&amp;" son:","Los principales contratos suscriptos por la Sociedad, vigentes al … de … (año)  son:")</f>
        <v>Los principales contratos suscriptos por la Sociedad, vigentes al … de … (año)  son:</v>
      </c>
      <c r="B6" s="1008"/>
      <c r="C6" s="1008"/>
      <c r="D6" s="1008"/>
      <c r="E6" s="1008"/>
      <c r="F6" s="1008"/>
      <c r="G6" s="1008"/>
      <c r="H6" s="1008"/>
      <c r="I6" s="1008"/>
      <c r="J6" s="26"/>
      <c r="K6" s="26"/>
      <c r="L6" s="26"/>
      <c r="M6" s="26"/>
      <c r="N6" s="26"/>
    </row>
    <row r="7" spans="1:14" s="27" customFormat="1">
      <c r="A7" s="100" t="s">
        <v>946</v>
      </c>
      <c r="B7" s="325"/>
      <c r="C7" s="325"/>
      <c r="D7" s="325"/>
      <c r="E7" s="325"/>
      <c r="F7" s="325"/>
      <c r="G7" s="325"/>
      <c r="H7" s="325"/>
      <c r="I7" s="325"/>
      <c r="J7" s="26"/>
      <c r="K7" s="26"/>
      <c r="L7" s="26"/>
      <c r="M7" s="26"/>
      <c r="N7" s="26"/>
    </row>
    <row r="8" spans="1:14" s="26" customFormat="1">
      <c r="A8" s="100" t="s">
        <v>947</v>
      </c>
      <c r="B8" s="325"/>
      <c r="C8" s="325"/>
      <c r="D8" s="325"/>
      <c r="E8" s="325"/>
      <c r="F8" s="325"/>
      <c r="G8" s="325"/>
      <c r="H8" s="325"/>
      <c r="I8" s="325"/>
    </row>
    <row r="9" spans="1:14" s="27" customFormat="1">
      <c r="A9" s="325"/>
      <c r="B9" s="325"/>
      <c r="C9" s="325"/>
      <c r="D9" s="325"/>
      <c r="E9" s="325"/>
      <c r="F9" s="325"/>
      <c r="G9" s="325"/>
      <c r="H9" s="325"/>
      <c r="I9" s="325"/>
      <c r="J9" s="26"/>
      <c r="K9" s="26"/>
      <c r="L9" s="26"/>
      <c r="M9" s="26"/>
      <c r="N9" s="26"/>
    </row>
    <row r="10" spans="1:14" s="27" customFormat="1">
      <c r="A10" s="285"/>
      <c r="B10" s="325"/>
      <c r="C10" s="325"/>
      <c r="D10" s="325"/>
      <c r="E10" s="325"/>
      <c r="F10" s="325"/>
      <c r="G10" s="325"/>
      <c r="H10" s="325"/>
      <c r="I10" s="325"/>
      <c r="J10" s="26"/>
      <c r="K10" s="26"/>
      <c r="L10" s="26"/>
      <c r="M10" s="26"/>
      <c r="N10" s="26"/>
    </row>
    <row r="11" spans="1:14" s="27" customFormat="1">
      <c r="A11" s="1011" t="str">
        <f>IFERROR("Al  "&amp;DAY(Indice!B3)&amp;" de "&amp;VLOOKUP(MONTH(Indice!B3),Indice!S:T,2,0)&amp;" de "&amp;YEAR(Indice!B3-1)&amp;" no existen situaciones contingentes, ni reclamos que pudieran resultar en la generación de obligaciones para la Sociedad adicionales a las que se presentan en estos estados financieros.","Al … de …………... (año) no existen situaciones contingentes, ni reclamos que pudieran resultar en la generación de obligaciones para la Sociedad adicionales a las que se presentan en estos estados financieros.")</f>
        <v>Al … de …………... (año) no existen situaciones contingentes, ni reclamos que pudieran resultar en la generación de obligaciones para la Sociedad adicionales a las que se presentan en estos estados financieros.</v>
      </c>
      <c r="B11" s="1011"/>
      <c r="C11" s="1011"/>
      <c r="D11" s="1011"/>
      <c r="E11" s="1011"/>
      <c r="F11" s="1011"/>
      <c r="G11" s="1011"/>
      <c r="H11" s="1011"/>
      <c r="I11" s="325"/>
      <c r="J11" s="26"/>
      <c r="K11" s="26"/>
      <c r="L11" s="26"/>
      <c r="M11" s="26"/>
      <c r="N11" s="26"/>
    </row>
    <row r="12" spans="1:14" s="27" customFormat="1" ht="16.5" customHeight="1">
      <c r="A12" s="1011"/>
      <c r="B12" s="1011"/>
      <c r="C12" s="1011"/>
      <c r="D12" s="1011"/>
      <c r="E12" s="1011"/>
      <c r="F12" s="1011"/>
      <c r="G12" s="1011"/>
      <c r="H12" s="1011"/>
      <c r="I12" s="326"/>
      <c r="J12" s="26"/>
      <c r="K12" s="26"/>
      <c r="L12" s="26"/>
      <c r="M12" s="26"/>
      <c r="N12" s="26"/>
    </row>
    <row r="13" spans="1:14" s="27" customFormat="1">
      <c r="A13" s="325"/>
      <c r="B13" s="325"/>
      <c r="C13" s="325"/>
      <c r="D13" s="325"/>
      <c r="E13" s="325"/>
      <c r="F13" s="325"/>
      <c r="G13" s="325"/>
      <c r="H13" s="325"/>
      <c r="I13" s="325"/>
      <c r="J13" s="26"/>
      <c r="K13" s="26"/>
      <c r="L13" s="26"/>
      <c r="M13" s="26"/>
      <c r="N13" s="26"/>
    </row>
    <row r="14" spans="1:14" s="27" customFormat="1">
      <c r="A14" s="325"/>
      <c r="B14" s="325"/>
      <c r="C14" s="325"/>
      <c r="D14" s="325"/>
      <c r="E14" s="325"/>
      <c r="F14" s="325"/>
      <c r="G14" s="325"/>
      <c r="H14" s="325"/>
      <c r="I14" s="325"/>
      <c r="J14" s="26"/>
      <c r="K14" s="26"/>
      <c r="L14" s="26"/>
      <c r="M14" s="26"/>
      <c r="N14" s="26"/>
    </row>
    <row r="15" spans="1:14" s="27" customFormat="1" ht="21.2" customHeight="1">
      <c r="A15" s="1009" t="s">
        <v>948</v>
      </c>
      <c r="B15" s="1009"/>
      <c r="C15" s="1009"/>
      <c r="D15" s="1009"/>
      <c r="E15" s="1009"/>
      <c r="F15" s="1009"/>
      <c r="G15" s="1009"/>
      <c r="H15" s="1009"/>
      <c r="I15" s="327"/>
      <c r="J15" s="26"/>
      <c r="K15" s="26"/>
      <c r="L15" s="26"/>
      <c r="M15" s="26"/>
      <c r="N15" s="26"/>
    </row>
  </sheetData>
  <mergeCells count="4">
    <mergeCell ref="A15:H15"/>
    <mergeCell ref="A5:I5"/>
    <mergeCell ref="A6:I6"/>
    <mergeCell ref="A11:H12"/>
  </mergeCells>
  <hyperlinks>
    <hyperlink ref="D1" location="Indice!A1" display="Indice"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AY26"/>
  <sheetViews>
    <sheetView showGridLines="0" workbookViewId="0">
      <selection activeCell="C13" sqref="C13"/>
    </sheetView>
  </sheetViews>
  <sheetFormatPr baseColWidth="10" defaultColWidth="11.42578125" defaultRowHeight="15"/>
  <cols>
    <col min="1" max="1" width="47.85546875" style="9" customWidth="1"/>
    <col min="2" max="2" width="16.140625" style="9" customWidth="1"/>
    <col min="3" max="3" width="15.28515625" style="9" customWidth="1"/>
    <col min="4" max="7" width="11.42578125" style="9" hidden="1" customWidth="1"/>
    <col min="8" max="51" width="11.42578125" style="9"/>
  </cols>
  <sheetData>
    <row r="1" spans="1:11" ht="18" customHeight="1">
      <c r="A1" s="217" t="str">
        <f>Indice!C1</f>
        <v>NICOLAS GONZALEZ ODDONE S.A.E.C.A</v>
      </c>
      <c r="B1" s="275"/>
      <c r="C1" s="275"/>
      <c r="D1" s="328" t="s">
        <v>949</v>
      </c>
      <c r="E1" s="275"/>
      <c r="F1" s="275"/>
      <c r="G1" s="275"/>
    </row>
    <row r="2" spans="1:11">
      <c r="A2" s="275"/>
      <c r="B2" s="275"/>
      <c r="C2" s="275"/>
      <c r="D2" s="275"/>
      <c r="E2" s="275"/>
      <c r="F2" s="275"/>
      <c r="G2" s="275"/>
    </row>
    <row r="3" spans="1:11" ht="18" customHeight="1">
      <c r="A3" s="957" t="s">
        <v>950</v>
      </c>
      <c r="B3" s="957"/>
      <c r="C3" s="957"/>
      <c r="D3" s="957"/>
      <c r="E3" s="957"/>
      <c r="F3" s="957"/>
      <c r="G3" s="957"/>
    </row>
    <row r="4" spans="1:11">
      <c r="A4" s="94" t="s">
        <v>113</v>
      </c>
      <c r="B4" s="275"/>
      <c r="C4" s="275"/>
      <c r="D4" s="275"/>
      <c r="E4" s="275"/>
      <c r="F4" s="275"/>
      <c r="G4" s="275"/>
    </row>
    <row r="5" spans="1:11">
      <c r="A5" s="126"/>
      <c r="B5" s="275"/>
      <c r="C5" s="275"/>
      <c r="D5" s="275"/>
      <c r="E5" s="275"/>
      <c r="F5" s="275"/>
      <c r="G5" s="275"/>
    </row>
    <row r="6" spans="1:11" ht="23.25">
      <c r="A6" s="268" t="s">
        <v>620</v>
      </c>
      <c r="B6" s="275"/>
      <c r="C6" s="275"/>
      <c r="D6" s="275"/>
      <c r="E6" s="275"/>
      <c r="F6" s="275"/>
      <c r="G6" s="275"/>
    </row>
    <row r="7" spans="1:11" ht="59.25" customHeight="1">
      <c r="A7" s="1012" t="s">
        <v>951</v>
      </c>
      <c r="B7" s="1012"/>
      <c r="C7" s="1012"/>
      <c r="D7" s="1012"/>
      <c r="E7" s="1012"/>
      <c r="F7" s="1012"/>
      <c r="G7" s="1012"/>
      <c r="H7" s="51"/>
      <c r="I7" s="51"/>
      <c r="J7" s="51"/>
      <c r="K7" s="51"/>
    </row>
    <row r="8" spans="1:11" ht="55.5" customHeight="1">
      <c r="A8" s="1013" t="s">
        <v>952</v>
      </c>
      <c r="B8" s="1013"/>
      <c r="C8" s="1013"/>
      <c r="D8" s="1013"/>
      <c r="E8" s="1013"/>
      <c r="F8" s="1013"/>
      <c r="G8" s="1013"/>
      <c r="H8" s="51"/>
      <c r="I8" s="51"/>
      <c r="J8" s="51"/>
      <c r="K8" s="51"/>
    </row>
    <row r="9" spans="1:11">
      <c r="A9" s="329"/>
      <c r="B9" s="275"/>
      <c r="C9" s="275"/>
      <c r="D9" s="275"/>
      <c r="E9" s="275"/>
      <c r="F9" s="275"/>
      <c r="G9" s="275"/>
    </row>
    <row r="10" spans="1:11" s="9" customFormat="1" ht="21.75" customHeight="1">
      <c r="A10" s="1013" t="s">
        <v>953</v>
      </c>
      <c r="B10" s="1013"/>
      <c r="C10" s="1013"/>
      <c r="D10" s="1013"/>
      <c r="E10" s="1013"/>
      <c r="F10" s="1013"/>
      <c r="G10" s="1013"/>
      <c r="H10" s="52"/>
      <c r="I10" s="52"/>
      <c r="J10" s="52"/>
      <c r="K10" s="52"/>
    </row>
    <row r="11" spans="1:11">
      <c r="A11" s="275"/>
      <c r="B11" s="275"/>
      <c r="C11" s="275"/>
      <c r="D11" s="275"/>
      <c r="E11" s="275"/>
      <c r="F11" s="275"/>
      <c r="G11" s="275"/>
    </row>
    <row r="12" spans="1:11" ht="15" customHeight="1">
      <c r="A12" s="926"/>
      <c r="B12" s="576">
        <v>44834</v>
      </c>
      <c r="C12" s="576">
        <v>44377</v>
      </c>
      <c r="D12" s="275"/>
      <c r="E12" s="275"/>
      <c r="F12" s="275"/>
      <c r="G12" s="275"/>
    </row>
    <row r="13" spans="1:11">
      <c r="A13" s="927" t="s">
        <v>954</v>
      </c>
      <c r="B13" s="928"/>
      <c r="C13" s="928"/>
      <c r="D13" s="275"/>
      <c r="E13" s="275"/>
      <c r="F13" s="275"/>
      <c r="G13" s="275"/>
    </row>
    <row r="14" spans="1:11">
      <c r="A14" s="927" t="s">
        <v>955</v>
      </c>
      <c r="B14" s="928"/>
      <c r="C14" s="928"/>
      <c r="D14" s="275"/>
      <c r="E14" s="275"/>
      <c r="F14" s="275"/>
      <c r="G14" s="275"/>
    </row>
    <row r="15" spans="1:11">
      <c r="A15" s="927" t="s">
        <v>550</v>
      </c>
      <c r="B15" s="928"/>
      <c r="C15" s="928"/>
      <c r="D15" s="275"/>
      <c r="E15" s="275"/>
      <c r="F15" s="275"/>
      <c r="G15" s="275"/>
    </row>
    <row r="16" spans="1:11">
      <c r="A16" s="927" t="s">
        <v>956</v>
      </c>
      <c r="B16" s="928"/>
      <c r="C16" s="928"/>
      <c r="D16" s="275"/>
      <c r="E16" s="275"/>
      <c r="F16" s="275"/>
      <c r="G16" s="275"/>
    </row>
    <row r="17" spans="1:7">
      <c r="A17" s="927" t="s">
        <v>957</v>
      </c>
      <c r="B17" s="929"/>
      <c r="C17" s="928"/>
      <c r="D17" s="275"/>
      <c r="E17" s="275"/>
      <c r="F17" s="275"/>
      <c r="G17" s="275"/>
    </row>
    <row r="18" spans="1:7">
      <c r="A18" s="927" t="s">
        <v>35</v>
      </c>
      <c r="B18" s="929"/>
      <c r="C18" s="928"/>
      <c r="D18" s="275"/>
      <c r="E18" s="275"/>
      <c r="F18" s="275"/>
      <c r="G18" s="275"/>
    </row>
    <row r="19" spans="1:7">
      <c r="A19" s="927" t="s">
        <v>958</v>
      </c>
      <c r="B19" s="929"/>
      <c r="C19" s="928"/>
      <c r="D19" s="275"/>
      <c r="E19" s="275"/>
      <c r="F19" s="275"/>
      <c r="G19" s="275"/>
    </row>
    <row r="20" spans="1:7">
      <c r="A20" s="927" t="s">
        <v>959</v>
      </c>
      <c r="B20" s="929"/>
      <c r="C20" s="928"/>
      <c r="D20" s="275"/>
      <c r="E20" s="275"/>
      <c r="F20" s="275"/>
      <c r="G20" s="275"/>
    </row>
    <row r="21" spans="1:7">
      <c r="A21" s="927" t="s">
        <v>960</v>
      </c>
      <c r="B21" s="929"/>
      <c r="C21" s="928"/>
      <c r="D21" s="275"/>
      <c r="E21" s="275"/>
      <c r="F21" s="275"/>
      <c r="G21" s="275"/>
    </row>
    <row r="22" spans="1:7">
      <c r="A22" s="927" t="s">
        <v>961</v>
      </c>
      <c r="B22" s="929"/>
      <c r="C22" s="928"/>
      <c r="D22" s="275"/>
      <c r="E22" s="275"/>
      <c r="F22" s="275"/>
      <c r="G22" s="275"/>
    </row>
    <row r="23" spans="1:7">
      <c r="A23" s="927" t="s">
        <v>962</v>
      </c>
      <c r="B23" s="929"/>
      <c r="C23" s="928"/>
      <c r="D23" s="275"/>
      <c r="E23" s="275"/>
      <c r="F23" s="275"/>
      <c r="G23" s="275"/>
    </row>
    <row r="24" spans="1:7" ht="24">
      <c r="A24" s="927" t="s">
        <v>963</v>
      </c>
      <c r="B24" s="929"/>
      <c r="C24" s="928"/>
      <c r="D24" s="275"/>
      <c r="E24" s="275"/>
      <c r="F24" s="275"/>
      <c r="G24" s="275"/>
    </row>
    <row r="25" spans="1:7">
      <c r="A25" s="927" t="s">
        <v>964</v>
      </c>
      <c r="B25" s="929"/>
      <c r="C25" s="928"/>
      <c r="D25" s="275"/>
      <c r="E25" s="275"/>
      <c r="F25" s="275"/>
      <c r="G25" s="275"/>
    </row>
    <row r="26" spans="1:7">
      <c r="A26" s="930" t="s">
        <v>166</v>
      </c>
      <c r="B26" s="931"/>
      <c r="C26" s="932"/>
      <c r="D26" s="275"/>
      <c r="E26" s="275"/>
      <c r="F26" s="275"/>
      <c r="G26" s="275"/>
    </row>
  </sheetData>
  <mergeCells count="4">
    <mergeCell ref="A3:G3"/>
    <mergeCell ref="A7:G7"/>
    <mergeCell ref="A8:G8"/>
    <mergeCell ref="A10:G10"/>
  </mergeCells>
  <hyperlinks>
    <hyperlink ref="D1" location="Indice!A1" display="Índice"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N9"/>
  <sheetViews>
    <sheetView showGridLines="0" workbookViewId="0">
      <selection activeCell="F18" sqref="F18"/>
    </sheetView>
  </sheetViews>
  <sheetFormatPr baseColWidth="10" defaultColWidth="11.42578125" defaultRowHeight="15"/>
  <cols>
    <col min="1" max="1" width="36.5703125" style="9" customWidth="1"/>
    <col min="2" max="5" width="24.42578125" style="9" customWidth="1"/>
    <col min="6" max="6" width="8.28515625" style="9" customWidth="1"/>
    <col min="7" max="7" width="11.42578125" style="9" hidden="1" customWidth="1"/>
    <col min="8" max="8" width="17.28515625" style="9" hidden="1" customWidth="1"/>
    <col min="9" max="9" width="3.5703125" style="9" hidden="1" customWidth="1"/>
    <col min="10" max="14" width="11.42578125" style="9"/>
  </cols>
  <sheetData>
    <row r="1" spans="1:14" ht="19.5" customHeight="1">
      <c r="A1" s="217" t="str">
        <f>Indice!C1</f>
        <v>NICOLAS GONZALEZ ODDONE S.A.E.C.A</v>
      </c>
      <c r="C1" s="227" t="s">
        <v>110</v>
      </c>
      <c r="E1" s="16"/>
    </row>
    <row r="2" spans="1:14">
      <c r="A2" s="94"/>
      <c r="C2" s="10"/>
    </row>
    <row r="4" spans="1:14" ht="18" customHeight="1">
      <c r="A4" s="217" t="s">
        <v>965</v>
      </c>
      <c r="B4" s="217"/>
      <c r="C4" s="217"/>
      <c r="D4" s="217"/>
      <c r="E4" s="217"/>
      <c r="F4" s="217"/>
      <c r="G4" s="217"/>
      <c r="H4" s="217"/>
      <c r="I4" s="217"/>
    </row>
    <row r="5" spans="1:14" s="26" customFormat="1" ht="44.25" customHeight="1">
      <c r="A5" s="1011"/>
      <c r="B5" s="1011"/>
      <c r="C5" s="1011"/>
      <c r="D5" s="1011"/>
      <c r="E5" s="1011"/>
      <c r="F5" s="1011"/>
      <c r="G5" s="1011"/>
      <c r="H5" s="1011"/>
      <c r="I5" s="1011"/>
    </row>
    <row r="6" spans="1:14" s="27" customFormat="1" ht="27.75" customHeight="1">
      <c r="A6" s="203"/>
      <c r="J6" s="26"/>
      <c r="K6" s="26"/>
      <c r="L6" s="26"/>
      <c r="M6" s="26"/>
      <c r="N6" s="26"/>
    </row>
    <row r="7" spans="1:14" s="27" customFormat="1">
      <c r="A7" s="26"/>
      <c r="B7" s="26"/>
      <c r="C7" s="26"/>
      <c r="D7" s="26"/>
      <c r="E7" s="26"/>
      <c r="F7" s="26"/>
      <c r="G7" s="26"/>
      <c r="H7" s="26"/>
      <c r="I7" s="26"/>
      <c r="J7" s="26"/>
      <c r="K7" s="26"/>
      <c r="L7" s="26"/>
      <c r="M7" s="26"/>
      <c r="N7" s="26"/>
    </row>
    <row r="8" spans="1:14" s="27" customFormat="1">
      <c r="A8" s="1014"/>
      <c r="B8" s="1014"/>
      <c r="C8" s="1014"/>
      <c r="D8" s="1014"/>
      <c r="E8" s="1014"/>
      <c r="F8" s="1014"/>
      <c r="G8" s="1014"/>
      <c r="H8" s="1014"/>
      <c r="I8" s="1014"/>
      <c r="J8" s="26"/>
      <c r="K8" s="26"/>
      <c r="L8" s="26"/>
      <c r="M8" s="26"/>
      <c r="N8" s="26"/>
    </row>
    <row r="9" spans="1:14" s="27" customFormat="1">
      <c r="A9" s="26"/>
      <c r="B9" s="26"/>
      <c r="C9" s="26"/>
      <c r="D9" s="26"/>
      <c r="E9" s="26"/>
      <c r="F9" s="26"/>
      <c r="G9" s="26"/>
      <c r="H9" s="26"/>
      <c r="I9" s="26"/>
      <c r="J9" s="26"/>
      <c r="K9" s="26"/>
      <c r="L9" s="26"/>
      <c r="M9" s="26"/>
      <c r="N9" s="26"/>
    </row>
  </sheetData>
  <mergeCells count="2">
    <mergeCell ref="A5:I5"/>
    <mergeCell ref="A8:I8"/>
  </mergeCells>
  <hyperlinks>
    <hyperlink ref="C1" location="Indice!A1" display="Indice" xr:uid="{00000000-0004-0000-2D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9"/>
  <sheetViews>
    <sheetView showGridLines="0" tabSelected="1" topLeftCell="A138" workbookViewId="0">
      <selection activeCell="C149" sqref="C149"/>
    </sheetView>
  </sheetViews>
  <sheetFormatPr baseColWidth="10" defaultColWidth="11.42578125" defaultRowHeight="15"/>
  <cols>
    <col min="1" max="1" width="64.140625" customWidth="1"/>
    <col min="2" max="2" width="15.7109375" customWidth="1"/>
    <col min="3" max="3" width="18.140625" style="6" customWidth="1"/>
    <col min="4" max="4" width="15.42578125" customWidth="1"/>
    <col min="5" max="5" width="13.28515625" bestFit="1" customWidth="1"/>
    <col min="6" max="6" width="14.28515625" bestFit="1" customWidth="1"/>
    <col min="7" max="7" width="12.7109375" bestFit="1" customWidth="1"/>
    <col min="8" max="8" width="13.7109375" bestFit="1" customWidth="1"/>
  </cols>
  <sheetData>
    <row r="1" spans="1:8" ht="18.75" customHeight="1">
      <c r="A1" s="217" t="s">
        <v>7</v>
      </c>
      <c r="C1" s="641" t="s">
        <v>110</v>
      </c>
      <c r="H1" s="15"/>
    </row>
    <row r="3" spans="1:8" ht="16.5" customHeight="1">
      <c r="A3" s="642" t="s">
        <v>966</v>
      </c>
      <c r="B3" s="642"/>
      <c r="C3" s="643"/>
      <c r="D3" s="643"/>
      <c r="E3" s="644"/>
      <c r="F3" s="644"/>
      <c r="G3" s="644"/>
    </row>
    <row r="4" spans="1:8">
      <c r="A4" s="645" t="s">
        <v>792</v>
      </c>
      <c r="B4" s="646"/>
      <c r="D4" s="646"/>
      <c r="E4" s="646"/>
      <c r="F4" s="646"/>
      <c r="G4" s="646"/>
    </row>
    <row r="5" spans="1:8">
      <c r="A5" s="645"/>
      <c r="B5" s="646"/>
      <c r="D5" s="646"/>
      <c r="E5" s="646"/>
      <c r="F5" s="646"/>
      <c r="G5" s="646"/>
    </row>
    <row r="6" spans="1:8" ht="12.75" customHeight="1">
      <c r="A6" s="647"/>
      <c r="B6" s="648">
        <v>44834</v>
      </c>
      <c r="C6" s="648">
        <v>44469</v>
      </c>
      <c r="D6" s="649"/>
      <c r="E6" s="649"/>
      <c r="F6" s="649"/>
      <c r="G6" s="646"/>
    </row>
    <row r="7" spans="1:8" ht="12.75" customHeight="1">
      <c r="A7" s="650" t="s">
        <v>967</v>
      </c>
      <c r="B7" s="651"/>
      <c r="C7" s="651"/>
      <c r="D7" s="649"/>
      <c r="E7" s="649"/>
      <c r="F7" s="649"/>
      <c r="G7" s="646"/>
    </row>
    <row r="8" spans="1:8" ht="12.75" customHeight="1">
      <c r="A8" s="649" t="s">
        <v>968</v>
      </c>
      <c r="B8" s="652"/>
      <c r="C8" s="652"/>
      <c r="D8" s="649"/>
      <c r="E8" s="649"/>
      <c r="F8" s="649"/>
      <c r="G8" s="646"/>
    </row>
    <row r="9" spans="1:8" ht="12.75" customHeight="1">
      <c r="A9" s="649" t="s">
        <v>969</v>
      </c>
      <c r="B9" s="652"/>
      <c r="C9" s="652"/>
      <c r="D9" s="649"/>
      <c r="E9" s="649"/>
      <c r="F9" s="649"/>
      <c r="G9" s="646"/>
    </row>
    <row r="10" spans="1:8" ht="12.75" customHeight="1">
      <c r="A10" s="649" t="s">
        <v>970</v>
      </c>
      <c r="B10" s="652"/>
      <c r="C10" s="652"/>
      <c r="D10" s="649"/>
      <c r="E10" s="649"/>
      <c r="F10" s="649"/>
      <c r="G10" s="646"/>
    </row>
    <row r="11" spans="1:8" ht="12.75" customHeight="1">
      <c r="A11" s="649" t="s">
        <v>971</v>
      </c>
      <c r="B11" s="652"/>
      <c r="C11" s="652"/>
      <c r="D11" s="649"/>
      <c r="E11" s="649"/>
      <c r="F11" s="649"/>
      <c r="G11" s="646"/>
    </row>
    <row r="12" spans="1:8" ht="12.75" customHeight="1">
      <c r="A12" s="649" t="s">
        <v>972</v>
      </c>
      <c r="B12" s="652"/>
      <c r="C12" s="652"/>
      <c r="D12" s="649"/>
      <c r="E12" s="649"/>
      <c r="F12" s="649"/>
      <c r="G12" s="646"/>
    </row>
    <row r="13" spans="1:8" ht="12.75" customHeight="1">
      <c r="A13" s="653"/>
      <c r="B13" s="652"/>
      <c r="C13" s="652"/>
      <c r="D13" s="649"/>
      <c r="E13" s="649"/>
      <c r="F13" s="649"/>
      <c r="G13" s="646"/>
    </row>
    <row r="14" spans="1:8" ht="12.75" customHeight="1">
      <c r="A14" s="650" t="s">
        <v>973</v>
      </c>
      <c r="B14" s="652"/>
      <c r="C14" s="652"/>
      <c r="D14" s="649"/>
      <c r="E14" s="649"/>
      <c r="F14" s="649"/>
      <c r="G14" s="646"/>
    </row>
    <row r="15" spans="1:8" ht="12.75" customHeight="1">
      <c r="A15" s="650"/>
      <c r="B15" s="652"/>
      <c r="C15" s="652"/>
      <c r="D15" s="649"/>
      <c r="E15" s="649"/>
      <c r="F15" s="649"/>
      <c r="G15" s="646"/>
    </row>
    <row r="16" spans="1:8" ht="12.75" customHeight="1">
      <c r="A16" s="649" t="s">
        <v>974</v>
      </c>
      <c r="B16" s="654"/>
      <c r="C16" s="652"/>
      <c r="D16" s="649"/>
      <c r="E16" s="649"/>
      <c r="F16" s="649"/>
      <c r="G16" s="646"/>
    </row>
    <row r="17" spans="1:7" ht="12.75" customHeight="1">
      <c r="A17" s="649" t="s">
        <v>975</v>
      </c>
      <c r="B17" s="654"/>
      <c r="C17" s="652"/>
      <c r="D17" s="649"/>
      <c r="E17" s="649"/>
      <c r="F17" s="649"/>
      <c r="G17" s="646"/>
    </row>
    <row r="18" spans="1:7" ht="12.75" customHeight="1">
      <c r="A18" s="649" t="s">
        <v>976</v>
      </c>
      <c r="B18" s="654"/>
      <c r="C18" s="652"/>
      <c r="D18" s="649"/>
      <c r="E18" s="649"/>
      <c r="F18" s="649"/>
      <c r="G18" s="646"/>
    </row>
    <row r="19" spans="1:7" ht="12.75" customHeight="1">
      <c r="A19" s="649" t="s">
        <v>977</v>
      </c>
      <c r="B19" s="654"/>
      <c r="C19" s="652"/>
      <c r="D19" s="649"/>
      <c r="E19" s="649"/>
      <c r="F19" s="649"/>
      <c r="G19" s="646"/>
    </row>
    <row r="20" spans="1:7" ht="12.75" customHeight="1">
      <c r="A20" s="649" t="s">
        <v>978</v>
      </c>
      <c r="B20" s="654"/>
      <c r="C20" s="652"/>
      <c r="D20" s="649"/>
      <c r="E20" s="649"/>
      <c r="F20" s="649"/>
      <c r="G20" s="646"/>
    </row>
    <row r="21" spans="1:7" ht="12.75" customHeight="1">
      <c r="A21" s="649" t="s">
        <v>979</v>
      </c>
      <c r="B21" s="654"/>
      <c r="C21" s="652"/>
      <c r="D21" s="649"/>
      <c r="E21" s="649"/>
      <c r="F21" s="649"/>
      <c r="G21" s="646"/>
    </row>
    <row r="22" spans="1:7" ht="12.75" customHeight="1">
      <c r="A22" s="649" t="s">
        <v>980</v>
      </c>
      <c r="B22" s="654"/>
      <c r="C22" s="652"/>
      <c r="D22" s="649"/>
      <c r="E22" s="649"/>
      <c r="F22" s="649"/>
      <c r="G22" s="646"/>
    </row>
    <row r="23" spans="1:7" ht="12.75" customHeight="1">
      <c r="A23" s="649" t="s">
        <v>981</v>
      </c>
      <c r="B23" s="654"/>
      <c r="C23" s="652"/>
      <c r="D23" s="649"/>
      <c r="E23" s="649"/>
      <c r="F23" s="649"/>
      <c r="G23" s="646"/>
    </row>
    <row r="24" spans="1:7" ht="12.75" customHeight="1">
      <c r="A24" s="649" t="s">
        <v>982</v>
      </c>
      <c r="B24" s="654"/>
      <c r="C24" s="652"/>
      <c r="D24" s="649"/>
      <c r="E24" s="649"/>
      <c r="F24" s="649"/>
      <c r="G24" s="646"/>
    </row>
    <row r="25" spans="1:7" ht="12.75" customHeight="1">
      <c r="A25" s="653"/>
      <c r="B25" s="652"/>
      <c r="C25" s="652"/>
      <c r="D25" s="649"/>
      <c r="E25" s="649"/>
      <c r="F25" s="649"/>
      <c r="G25" s="646"/>
    </row>
    <row r="26" spans="1:7" ht="12.75" customHeight="1">
      <c r="A26" s="650" t="s">
        <v>983</v>
      </c>
      <c r="B26" s="652"/>
      <c r="C26" s="652"/>
      <c r="D26" s="649"/>
      <c r="E26" s="649"/>
      <c r="F26" s="649"/>
      <c r="G26" s="646"/>
    </row>
    <row r="27" spans="1:7" ht="12.75" customHeight="1">
      <c r="A27" s="650" t="s">
        <v>984</v>
      </c>
      <c r="B27" s="652"/>
      <c r="C27" s="652"/>
      <c r="D27" s="649"/>
      <c r="E27" s="649"/>
      <c r="F27" s="649"/>
      <c r="G27" s="646"/>
    </row>
    <row r="28" spans="1:7" ht="12.75" customHeight="1">
      <c r="A28" s="650" t="s">
        <v>985</v>
      </c>
      <c r="B28" s="652"/>
      <c r="C28" s="652"/>
      <c r="D28" s="649"/>
      <c r="E28" s="649"/>
      <c r="F28" s="649"/>
      <c r="G28" s="646"/>
    </row>
    <row r="29" spans="1:7" ht="12.75" customHeight="1">
      <c r="A29" s="653"/>
      <c r="B29" s="652"/>
      <c r="C29" s="652"/>
      <c r="D29" s="649"/>
      <c r="E29" s="649"/>
      <c r="F29" s="649"/>
      <c r="G29" s="646"/>
    </row>
    <row r="30" spans="1:7" ht="12.75" customHeight="1">
      <c r="A30" s="649" t="s">
        <v>986</v>
      </c>
      <c r="B30" s="652"/>
      <c r="C30" s="652"/>
      <c r="D30" s="649"/>
      <c r="E30" s="649"/>
      <c r="F30" s="649"/>
      <c r="G30" s="646"/>
    </row>
    <row r="31" spans="1:7" ht="12.75" customHeight="1">
      <c r="A31" s="649" t="s">
        <v>987</v>
      </c>
      <c r="B31" s="652"/>
      <c r="C31" s="652"/>
      <c r="D31" s="649"/>
      <c r="E31" s="649"/>
      <c r="F31" s="649"/>
      <c r="G31" s="646"/>
    </row>
    <row r="32" spans="1:7" ht="12.75" customHeight="1">
      <c r="A32" s="649" t="s">
        <v>988</v>
      </c>
      <c r="B32" s="652"/>
      <c r="C32" s="652"/>
      <c r="D32" s="649"/>
      <c r="E32" s="649"/>
      <c r="F32" s="649"/>
      <c r="G32" s="646"/>
    </row>
    <row r="33" spans="1:7" ht="12.75" customHeight="1">
      <c r="A33" s="649" t="s">
        <v>989</v>
      </c>
      <c r="B33" s="652"/>
      <c r="C33" s="652"/>
      <c r="D33" s="649"/>
      <c r="E33" s="649"/>
      <c r="F33" s="649"/>
      <c r="G33" s="646"/>
    </row>
    <row r="34" spans="1:7" ht="12.75" customHeight="1">
      <c r="A34" s="649" t="s">
        <v>990</v>
      </c>
      <c r="B34" s="652"/>
      <c r="C34" s="652"/>
      <c r="D34" s="649"/>
      <c r="E34" s="649"/>
      <c r="F34" s="649"/>
      <c r="G34" s="646"/>
    </row>
    <row r="35" spans="1:7" ht="12.75" customHeight="1">
      <c r="A35" s="649" t="s">
        <v>991</v>
      </c>
      <c r="B35" s="652"/>
      <c r="C35" s="652"/>
      <c r="D35" s="649"/>
      <c r="E35" s="649"/>
      <c r="F35" s="649"/>
      <c r="G35" s="646"/>
    </row>
    <row r="36" spans="1:7" ht="12.75" customHeight="1">
      <c r="A36" s="649" t="s">
        <v>992</v>
      </c>
      <c r="B36" s="652"/>
      <c r="C36" s="652"/>
      <c r="D36" s="649"/>
      <c r="E36" s="649"/>
      <c r="F36" s="649"/>
      <c r="G36" s="646"/>
    </row>
    <row r="37" spans="1:7" ht="12.75" customHeight="1">
      <c r="A37" s="649" t="s">
        <v>993</v>
      </c>
      <c r="B37" s="652"/>
      <c r="C37" s="652"/>
      <c r="D37" s="649"/>
      <c r="E37" s="649"/>
      <c r="F37" s="649"/>
      <c r="G37" s="646"/>
    </row>
    <row r="38" spans="1:7" ht="12.75" customHeight="1">
      <c r="A38" s="649" t="s">
        <v>994</v>
      </c>
      <c r="B38" s="652"/>
      <c r="C38" s="652"/>
      <c r="D38" s="649"/>
      <c r="E38" s="649"/>
      <c r="F38" s="649"/>
      <c r="G38" s="646"/>
    </row>
    <row r="39" spans="1:7" ht="12.75" customHeight="1">
      <c r="A39" s="653"/>
      <c r="B39" s="652"/>
      <c r="C39" s="652"/>
      <c r="D39" s="649"/>
      <c r="E39" s="649"/>
      <c r="F39" s="649"/>
      <c r="G39" s="646"/>
    </row>
    <row r="40" spans="1:7" ht="12.75" customHeight="1">
      <c r="A40" s="653"/>
      <c r="B40" s="652"/>
      <c r="C40" s="652"/>
      <c r="D40" s="649"/>
      <c r="E40" s="649"/>
      <c r="F40" s="649"/>
      <c r="G40" s="646"/>
    </row>
    <row r="41" spans="1:7" ht="12.75" customHeight="1">
      <c r="A41" s="647" t="s">
        <v>995</v>
      </c>
      <c r="B41" s="652"/>
      <c r="C41" s="652"/>
      <c r="D41" s="649"/>
      <c r="E41" s="649"/>
      <c r="F41" s="649"/>
      <c r="G41" s="646"/>
    </row>
    <row r="42" spans="1:7" ht="12.75" customHeight="1">
      <c r="A42" s="653"/>
      <c r="B42" s="652"/>
      <c r="C42" s="652"/>
      <c r="D42" s="649"/>
      <c r="E42" s="649"/>
      <c r="F42" s="649"/>
      <c r="G42" s="646"/>
    </row>
    <row r="43" spans="1:7" ht="12.75" customHeight="1">
      <c r="A43" s="655" t="s">
        <v>996</v>
      </c>
      <c r="B43" s="652"/>
      <c r="C43" s="752"/>
      <c r="D43" s="649"/>
      <c r="E43" s="649"/>
      <c r="F43" s="649"/>
      <c r="G43" s="646"/>
    </row>
    <row r="44" spans="1:7" ht="8.25" customHeight="1">
      <c r="A44" s="655"/>
      <c r="B44" s="752"/>
      <c r="C44" s="752"/>
      <c r="D44" s="649"/>
      <c r="E44" s="649"/>
      <c r="F44" s="649"/>
      <c r="G44" s="646"/>
    </row>
    <row r="45" spans="1:7" ht="12.75" customHeight="1">
      <c r="A45" s="656" t="s">
        <v>997</v>
      </c>
      <c r="B45" s="753"/>
      <c r="C45" s="753"/>
      <c r="D45" s="6"/>
      <c r="E45" s="98"/>
      <c r="F45" s="6"/>
      <c r="G45" s="646"/>
    </row>
    <row r="46" spans="1:7" ht="12.75" customHeight="1">
      <c r="A46" s="656" t="s">
        <v>1427</v>
      </c>
      <c r="B46" s="754">
        <f>40065851779+26525084</f>
        <v>40092376863</v>
      </c>
      <c r="C46" s="941">
        <v>35528427517</v>
      </c>
      <c r="D46" s="6"/>
      <c r="E46" s="98"/>
      <c r="F46" s="6"/>
      <c r="G46" s="646"/>
    </row>
    <row r="47" spans="1:7" ht="12.75" customHeight="1">
      <c r="A47" s="657"/>
      <c r="B47" s="752"/>
      <c r="C47" s="942"/>
      <c r="D47" s="6"/>
      <c r="E47" s="98"/>
      <c r="F47" s="6"/>
      <c r="G47" s="646"/>
    </row>
    <row r="48" spans="1:7" ht="12.75" customHeight="1">
      <c r="A48" s="656" t="s">
        <v>998</v>
      </c>
      <c r="B48" s="752"/>
      <c r="C48" s="942"/>
      <c r="D48" s="6"/>
      <c r="E48" s="98"/>
      <c r="F48" s="6"/>
      <c r="G48" s="646"/>
    </row>
    <row r="49" spans="1:7" ht="12.75" customHeight="1">
      <c r="A49" s="656" t="s">
        <v>999</v>
      </c>
      <c r="B49" s="751">
        <f>4309543877+301337102</f>
        <v>4610880979</v>
      </c>
      <c r="C49" s="943">
        <v>12755850464</v>
      </c>
      <c r="D49" s="6"/>
      <c r="E49" s="98"/>
      <c r="F49" s="6"/>
      <c r="G49" s="646"/>
    </row>
    <row r="50" spans="1:7" ht="12.75" customHeight="1">
      <c r="A50" s="657"/>
      <c r="B50" s="752"/>
      <c r="C50" s="942"/>
      <c r="D50" s="6"/>
      <c r="E50" s="98"/>
      <c r="F50" s="6"/>
      <c r="G50" s="646"/>
    </row>
    <row r="51" spans="1:7" ht="12.75" customHeight="1">
      <c r="A51" s="656" t="s">
        <v>1000</v>
      </c>
      <c r="B51" s="752"/>
      <c r="C51" s="942"/>
      <c r="D51" s="6"/>
      <c r="E51" s="6"/>
      <c r="F51" s="6"/>
      <c r="G51" s="646"/>
    </row>
    <row r="52" spans="1:7" ht="12.75" customHeight="1">
      <c r="A52" s="656" t="s">
        <v>1001</v>
      </c>
      <c r="B52" s="751">
        <v>306202940</v>
      </c>
      <c r="C52" s="943">
        <v>117913576</v>
      </c>
      <c r="D52" s="6"/>
      <c r="E52" s="6"/>
      <c r="F52" s="6"/>
      <c r="G52" s="646"/>
    </row>
    <row r="53" spans="1:7" ht="12.75" customHeight="1">
      <c r="A53" s="656"/>
      <c r="B53" s="752"/>
      <c r="C53" s="942"/>
      <c r="D53" s="6"/>
      <c r="E53" s="6"/>
      <c r="F53" s="6"/>
      <c r="G53" s="646"/>
    </row>
    <row r="54" spans="1:7" ht="12.75" customHeight="1">
      <c r="A54" s="656" t="s">
        <v>1002</v>
      </c>
      <c r="B54" s="752"/>
      <c r="C54" s="942"/>
      <c r="D54" s="6"/>
      <c r="E54" s="6"/>
      <c r="F54" s="6"/>
      <c r="G54" s="646"/>
    </row>
    <row r="55" spans="1:7" ht="12.75" customHeight="1">
      <c r="A55" s="656" t="s">
        <v>1003</v>
      </c>
      <c r="B55" s="757">
        <v>6616143</v>
      </c>
      <c r="C55" s="944">
        <v>0</v>
      </c>
      <c r="D55" s="6"/>
      <c r="E55" s="6"/>
      <c r="F55" s="6"/>
      <c r="G55" s="646"/>
    </row>
    <row r="56" spans="1:7" ht="12.75" customHeight="1">
      <c r="A56" s="656"/>
      <c r="B56" s="752"/>
      <c r="C56" s="942"/>
      <c r="D56" s="6"/>
      <c r="E56" s="6"/>
      <c r="F56" s="6"/>
      <c r="G56" s="646"/>
    </row>
    <row r="57" spans="1:7" ht="12.75" customHeight="1">
      <c r="A57" s="656" t="s">
        <v>1004</v>
      </c>
      <c r="B57" s="752"/>
      <c r="C57" s="942"/>
      <c r="D57" s="6"/>
      <c r="E57" s="6"/>
      <c r="F57" s="6"/>
      <c r="G57" s="646"/>
    </row>
    <row r="58" spans="1:7" ht="12.75" customHeight="1">
      <c r="A58" s="656" t="s">
        <v>1005</v>
      </c>
      <c r="B58" s="754">
        <v>0</v>
      </c>
      <c r="C58" s="945">
        <v>29550000</v>
      </c>
      <c r="D58" s="6"/>
      <c r="E58" s="6"/>
      <c r="F58" s="6"/>
      <c r="G58" s="646"/>
    </row>
    <row r="59" spans="1:7" ht="12.75" customHeight="1">
      <c r="A59" s="656"/>
      <c r="B59" s="754"/>
      <c r="C59" s="945"/>
      <c r="D59" s="6"/>
      <c r="E59" s="6"/>
      <c r="F59" s="6"/>
      <c r="G59" s="646"/>
    </row>
    <row r="60" spans="1:7" ht="12.75" customHeight="1">
      <c r="A60" s="656" t="s">
        <v>1428</v>
      </c>
      <c r="B60" s="754">
        <v>90616747</v>
      </c>
      <c r="C60" s="945">
        <v>0</v>
      </c>
      <c r="D60" s="6"/>
      <c r="E60" s="6"/>
      <c r="F60" s="6"/>
      <c r="G60" s="646"/>
    </row>
    <row r="61" spans="1:7" ht="12.75" customHeight="1">
      <c r="A61" s="656" t="s">
        <v>1429</v>
      </c>
      <c r="B61" s="754"/>
      <c r="C61" s="945"/>
      <c r="D61" s="6"/>
      <c r="E61" s="6"/>
      <c r="F61" s="6"/>
      <c r="G61" s="646"/>
    </row>
    <row r="62" spans="1:7" ht="12.75" customHeight="1">
      <c r="A62" s="656"/>
      <c r="B62" s="758"/>
      <c r="C62" s="946"/>
      <c r="D62" s="6"/>
      <c r="E62" s="6"/>
      <c r="F62" s="6"/>
      <c r="G62" s="646"/>
    </row>
    <row r="63" spans="1:7" ht="12.75" hidden="1" customHeight="1">
      <c r="A63" s="658" t="s">
        <v>1006</v>
      </c>
      <c r="B63" s="758"/>
      <c r="C63" s="946"/>
      <c r="D63" s="6"/>
      <c r="E63" s="6"/>
      <c r="F63" s="6"/>
      <c r="G63" s="646"/>
    </row>
    <row r="64" spans="1:7" ht="12.75" hidden="1" customHeight="1">
      <c r="A64" s="656" t="s">
        <v>1007</v>
      </c>
      <c r="B64" s="754">
        <v>0</v>
      </c>
      <c r="C64" s="941">
        <v>0</v>
      </c>
      <c r="D64" s="6"/>
      <c r="E64" s="6"/>
      <c r="F64" s="6"/>
      <c r="G64" s="646"/>
    </row>
    <row r="65" spans="1:7" ht="12.75" hidden="1" customHeight="1">
      <c r="A65" s="656"/>
      <c r="B65" s="752"/>
      <c r="C65" s="942"/>
      <c r="D65" s="6"/>
      <c r="E65" s="6"/>
      <c r="F65" s="6"/>
      <c r="G65" s="646"/>
    </row>
    <row r="66" spans="1:7" ht="12.75" customHeight="1">
      <c r="A66" s="656" t="s">
        <v>1008</v>
      </c>
      <c r="B66" s="754"/>
      <c r="C66" s="947"/>
      <c r="D66" s="6"/>
      <c r="E66" s="6"/>
      <c r="F66" s="6"/>
      <c r="G66" s="646"/>
    </row>
    <row r="67" spans="1:7" ht="12.75" customHeight="1">
      <c r="A67" s="656" t="s">
        <v>1007</v>
      </c>
      <c r="B67" s="754">
        <f>9192616+4381901</f>
        <v>13574517</v>
      </c>
      <c r="C67" s="941">
        <v>33571263</v>
      </c>
      <c r="D67" s="6"/>
      <c r="E67" s="6"/>
      <c r="F67" s="6"/>
      <c r="G67" s="646"/>
    </row>
    <row r="68" spans="1:7" ht="12.75" customHeight="1">
      <c r="A68" s="656"/>
      <c r="B68" s="754"/>
      <c r="C68" s="941"/>
      <c r="D68" s="6"/>
      <c r="E68" s="6"/>
      <c r="F68" s="6"/>
      <c r="G68" s="646"/>
    </row>
    <row r="69" spans="1:7" ht="12.75" customHeight="1">
      <c r="A69" s="656" t="s">
        <v>1009</v>
      </c>
      <c r="B69" s="754"/>
      <c r="C69" s="941"/>
      <c r="D69" s="6"/>
      <c r="E69" s="6"/>
      <c r="F69" s="6"/>
      <c r="G69" s="646"/>
    </row>
    <row r="70" spans="1:7" ht="12.75" customHeight="1">
      <c r="A70" s="656" t="s">
        <v>1007</v>
      </c>
      <c r="B70" s="754">
        <f>250000000+4284564295</f>
        <v>4534564295</v>
      </c>
      <c r="C70" s="941">
        <v>2650611733</v>
      </c>
      <c r="D70" s="6"/>
      <c r="E70" s="6"/>
      <c r="F70" s="6"/>
      <c r="G70" s="646"/>
    </row>
    <row r="71" spans="1:7" ht="12.75" customHeight="1">
      <c r="A71" s="656"/>
      <c r="B71" s="754"/>
      <c r="C71" s="941"/>
      <c r="D71" s="6"/>
      <c r="E71" s="6"/>
      <c r="F71" s="6"/>
      <c r="G71" s="646"/>
    </row>
    <row r="72" spans="1:7" ht="12.75" customHeight="1">
      <c r="A72" s="659" t="s">
        <v>1010</v>
      </c>
      <c r="B72" s="758"/>
      <c r="C72" s="758"/>
      <c r="D72" s="6"/>
      <c r="E72" s="6"/>
      <c r="F72" s="6"/>
      <c r="G72" s="646"/>
    </row>
    <row r="73" spans="1:7" ht="12.75" customHeight="1">
      <c r="A73" s="660" t="s">
        <v>1007</v>
      </c>
      <c r="B73" s="754">
        <v>24133763</v>
      </c>
      <c r="C73" s="754">
        <v>7988031</v>
      </c>
      <c r="D73" s="6"/>
      <c r="E73" s="6"/>
      <c r="F73" s="6"/>
      <c r="G73" s="646"/>
    </row>
    <row r="74" spans="1:7" ht="12.75" customHeight="1">
      <c r="A74" s="660"/>
      <c r="B74" s="754"/>
      <c r="C74" s="754"/>
      <c r="D74" s="6"/>
      <c r="E74" s="6"/>
      <c r="F74" s="6"/>
      <c r="G74" s="646"/>
    </row>
    <row r="75" spans="1:7" ht="12.75" customHeight="1">
      <c r="A75" s="659" t="s">
        <v>972</v>
      </c>
      <c r="B75" s="751"/>
      <c r="C75" s="754"/>
      <c r="D75" s="6"/>
      <c r="E75" s="6"/>
      <c r="F75" s="6"/>
      <c r="G75" s="646"/>
    </row>
    <row r="76" spans="1:7" ht="12.75" customHeight="1">
      <c r="A76" s="660" t="s">
        <v>1007</v>
      </c>
      <c r="B76" s="754">
        <v>0</v>
      </c>
      <c r="C76" s="754">
        <v>3384449</v>
      </c>
      <c r="D76" s="6"/>
      <c r="E76" s="6"/>
      <c r="F76" s="6"/>
      <c r="G76" s="646"/>
    </row>
    <row r="77" spans="1:7" ht="12.75" customHeight="1">
      <c r="A77" s="660"/>
      <c r="B77" s="754"/>
      <c r="C77" s="754"/>
      <c r="D77" s="6"/>
      <c r="E77" s="6"/>
      <c r="F77" s="6"/>
      <c r="G77" s="646"/>
    </row>
    <row r="78" spans="1:7" ht="12.75" customHeight="1">
      <c r="A78" s="659" t="s">
        <v>1011</v>
      </c>
      <c r="B78" s="751"/>
      <c r="C78" s="751"/>
      <c r="D78" s="6"/>
      <c r="E78" s="6"/>
      <c r="F78" s="6"/>
      <c r="G78" s="646"/>
    </row>
    <row r="79" spans="1:7" ht="12.75" customHeight="1">
      <c r="A79" s="660" t="s">
        <v>1012</v>
      </c>
      <c r="B79" s="754">
        <v>181204</v>
      </c>
      <c r="C79" s="751">
        <v>5139026</v>
      </c>
      <c r="D79" s="6"/>
      <c r="E79" s="6"/>
      <c r="F79" s="6"/>
      <c r="G79" s="646"/>
    </row>
    <row r="80" spans="1:7" ht="12.75" customHeight="1">
      <c r="A80" s="660"/>
      <c r="B80" s="754"/>
      <c r="C80" s="754"/>
      <c r="D80" s="6"/>
      <c r="E80" s="6"/>
      <c r="F80" s="98"/>
      <c r="G80" s="646"/>
    </row>
    <row r="81" spans="1:7" ht="12.75" customHeight="1">
      <c r="A81" s="659" t="s">
        <v>1013</v>
      </c>
      <c r="B81" s="751"/>
      <c r="C81" s="754"/>
      <c r="D81" s="6"/>
      <c r="E81" s="6"/>
      <c r="F81" s="6"/>
      <c r="G81" s="646"/>
    </row>
    <row r="82" spans="1:7" ht="12.75" customHeight="1">
      <c r="A82" s="660" t="s">
        <v>1014</v>
      </c>
      <c r="B82" s="754">
        <v>34561056</v>
      </c>
      <c r="C82" s="751">
        <v>6451579</v>
      </c>
      <c r="D82" s="6"/>
      <c r="E82" s="6"/>
      <c r="F82" s="6"/>
      <c r="G82" s="646"/>
    </row>
    <row r="83" spans="1:7" ht="12.75" customHeight="1">
      <c r="A83" s="660"/>
      <c r="B83" s="754"/>
      <c r="C83" s="754"/>
      <c r="D83" s="6"/>
      <c r="E83" s="6"/>
      <c r="F83" s="98"/>
      <c r="G83" s="646"/>
    </row>
    <row r="84" spans="1:7" ht="12.75" customHeight="1">
      <c r="A84" s="402" t="s">
        <v>1015</v>
      </c>
      <c r="B84" s="754"/>
      <c r="C84" s="754"/>
      <c r="D84" s="6"/>
      <c r="E84" s="6"/>
      <c r="F84" s="98"/>
      <c r="G84" s="646"/>
    </row>
    <row r="85" spans="1:7" ht="12.75" customHeight="1">
      <c r="A85" s="660" t="s">
        <v>1014</v>
      </c>
      <c r="B85" s="754">
        <v>22201455</v>
      </c>
      <c r="C85" s="754">
        <v>1474588</v>
      </c>
      <c r="D85" s="6"/>
      <c r="E85" s="6"/>
      <c r="F85" s="6"/>
      <c r="G85" s="646"/>
    </row>
    <row r="86" spans="1:7" ht="12.75" customHeight="1">
      <c r="A86" s="6"/>
      <c r="B86" s="754"/>
      <c r="C86" s="754"/>
      <c r="D86" s="6"/>
      <c r="E86" s="6"/>
      <c r="F86" s="6"/>
      <c r="G86" s="646"/>
    </row>
    <row r="87" spans="1:7" ht="12.75" customHeight="1">
      <c r="A87" s="167" t="s">
        <v>1016</v>
      </c>
      <c r="B87" s="758"/>
      <c r="C87" s="758"/>
      <c r="D87" s="6"/>
      <c r="E87" s="6"/>
      <c r="F87" s="6"/>
      <c r="G87" s="646"/>
    </row>
    <row r="88" spans="1:7">
      <c r="A88" s="661" t="s">
        <v>1017</v>
      </c>
      <c r="B88" s="750"/>
      <c r="C88" s="750"/>
      <c r="D88" s="6"/>
      <c r="E88" s="6"/>
      <c r="F88" s="6"/>
      <c r="G88" s="646"/>
    </row>
    <row r="89" spans="1:7">
      <c r="A89" s="656" t="s">
        <v>1018</v>
      </c>
      <c r="B89" s="750"/>
      <c r="C89" s="750"/>
      <c r="D89" s="6"/>
      <c r="E89" s="6"/>
      <c r="F89" s="6"/>
      <c r="G89" s="646"/>
    </row>
    <row r="90" spans="1:7">
      <c r="A90" s="656" t="s">
        <v>1019</v>
      </c>
      <c r="B90" s="750"/>
      <c r="C90" s="750"/>
      <c r="D90" s="6"/>
      <c r="E90" s="6"/>
      <c r="F90" s="6"/>
      <c r="G90" s="646"/>
    </row>
    <row r="91" spans="1:7">
      <c r="A91" s="656" t="s">
        <v>1020</v>
      </c>
      <c r="B91" s="750"/>
      <c r="C91" s="750"/>
      <c r="D91" s="6"/>
      <c r="E91" s="6"/>
      <c r="F91" s="6"/>
      <c r="G91" s="646"/>
    </row>
    <row r="92" spans="1:7">
      <c r="A92" s="656" t="s">
        <v>1021</v>
      </c>
      <c r="B92" s="750">
        <f>17477000000+10000000000-9299659201</f>
        <v>18177340799</v>
      </c>
      <c r="C92" s="757">
        <v>10093710366</v>
      </c>
      <c r="D92" s="6"/>
      <c r="E92" s="6"/>
      <c r="F92" s="6"/>
      <c r="G92" s="646"/>
    </row>
    <row r="93" spans="1:7">
      <c r="A93" s="656"/>
      <c r="B93" s="750"/>
      <c r="C93" s="750"/>
      <c r="D93" s="6"/>
      <c r="E93" s="6"/>
      <c r="F93" s="6"/>
      <c r="G93" s="646"/>
    </row>
    <row r="94" spans="1:7">
      <c r="A94" s="662" t="s">
        <v>1022</v>
      </c>
      <c r="B94" s="750"/>
      <c r="C94" s="750"/>
      <c r="D94" s="6"/>
      <c r="E94" s="6"/>
      <c r="F94" s="6"/>
      <c r="G94" s="646"/>
    </row>
    <row r="95" spans="1:7">
      <c r="A95" s="656" t="s">
        <v>1023</v>
      </c>
      <c r="B95" s="750"/>
      <c r="C95" s="750"/>
      <c r="D95" s="6"/>
      <c r="E95" s="6"/>
      <c r="F95" s="6"/>
      <c r="G95" s="646"/>
    </row>
    <row r="96" spans="1:7">
      <c r="A96" s="656" t="s">
        <v>1024</v>
      </c>
      <c r="B96" s="750"/>
      <c r="C96" s="750"/>
      <c r="D96" s="6"/>
      <c r="E96" s="6"/>
      <c r="F96" s="6"/>
      <c r="G96" s="646"/>
    </row>
    <row r="97" spans="1:7">
      <c r="A97" s="656" t="s">
        <v>1025</v>
      </c>
      <c r="B97" s="750"/>
      <c r="C97" s="750"/>
      <c r="D97" s="6"/>
      <c r="E97" s="6"/>
      <c r="F97" s="6"/>
      <c r="G97" s="646"/>
    </row>
    <row r="98" spans="1:7">
      <c r="A98" s="656" t="s">
        <v>1026</v>
      </c>
      <c r="B98" s="750"/>
      <c r="C98" s="750"/>
      <c r="D98" s="6"/>
      <c r="E98" s="6"/>
      <c r="F98" s="6"/>
      <c r="G98" s="646"/>
    </row>
    <row r="99" spans="1:7">
      <c r="A99" s="656" t="s">
        <v>1027</v>
      </c>
      <c r="B99" s="750">
        <f>45006000000-789919966</f>
        <v>44216080034</v>
      </c>
      <c r="C99" s="757">
        <v>34620214410</v>
      </c>
      <c r="D99" s="6"/>
      <c r="E99" s="6"/>
      <c r="F99" s="6"/>
      <c r="G99" s="646"/>
    </row>
    <row r="100" spans="1:7">
      <c r="A100" s="656"/>
      <c r="B100" s="750"/>
      <c r="C100" s="750"/>
      <c r="D100" s="6"/>
      <c r="E100" s="6"/>
      <c r="F100" s="6"/>
      <c r="G100" s="646"/>
    </row>
    <row r="101" spans="1:7">
      <c r="A101" s="662" t="s">
        <v>1028</v>
      </c>
      <c r="B101" s="750"/>
      <c r="C101" s="750"/>
      <c r="D101" s="6"/>
      <c r="E101" s="6"/>
      <c r="F101" s="6"/>
      <c r="G101" s="646"/>
    </row>
    <row r="102" spans="1:7">
      <c r="A102" s="656" t="s">
        <v>1029</v>
      </c>
      <c r="B102" s="750"/>
      <c r="C102" s="750"/>
      <c r="D102" s="6"/>
      <c r="E102" s="6"/>
      <c r="F102" s="6"/>
      <c r="G102" s="646"/>
    </row>
    <row r="103" spans="1:7">
      <c r="A103" s="656" t="s">
        <v>1030</v>
      </c>
      <c r="B103" s="750"/>
      <c r="C103" s="750"/>
      <c r="D103" s="6"/>
      <c r="E103" s="6"/>
      <c r="F103" s="6"/>
      <c r="G103" s="646"/>
    </row>
    <row r="104" spans="1:7">
      <c r="A104" s="656" t="s">
        <v>1031</v>
      </c>
      <c r="B104" s="750">
        <f>291000000-12941895</f>
        <v>278058105</v>
      </c>
      <c r="C104" s="750">
        <v>291000000</v>
      </c>
      <c r="D104" s="6"/>
      <c r="E104" s="6"/>
      <c r="F104" s="6"/>
      <c r="G104" s="646"/>
    </row>
    <row r="105" spans="1:7">
      <c r="A105" s="656"/>
      <c r="B105" s="750"/>
      <c r="C105" s="750"/>
      <c r="D105" s="6"/>
      <c r="E105" s="6"/>
      <c r="F105" s="6"/>
      <c r="G105" s="646"/>
    </row>
    <row r="106" spans="1:7">
      <c r="A106" s="662" t="s">
        <v>1032</v>
      </c>
      <c r="B106" s="750"/>
      <c r="C106" s="750"/>
      <c r="D106" s="6"/>
      <c r="E106" s="6"/>
      <c r="F106" s="6"/>
      <c r="G106" s="646"/>
    </row>
    <row r="107" spans="1:7">
      <c r="A107" s="656" t="s">
        <v>1033</v>
      </c>
      <c r="B107" s="750"/>
      <c r="C107" s="750"/>
      <c r="D107" s="6"/>
      <c r="E107" s="6"/>
      <c r="F107" s="6"/>
      <c r="G107" s="646"/>
    </row>
    <row r="108" spans="1:7">
      <c r="A108" s="656" t="s">
        <v>1034</v>
      </c>
      <c r="B108" s="750"/>
      <c r="C108" s="750"/>
      <c r="D108" s="6"/>
      <c r="E108" s="6"/>
      <c r="F108" s="6"/>
      <c r="G108" s="646"/>
    </row>
    <row r="109" spans="1:7">
      <c r="A109" s="656" t="s">
        <v>1035</v>
      </c>
      <c r="B109" s="750">
        <f>2020000000-11450278</f>
        <v>2008549722</v>
      </c>
      <c r="C109" s="750">
        <v>2020000000</v>
      </c>
      <c r="D109" s="6"/>
      <c r="E109" s="6"/>
      <c r="F109" s="6"/>
      <c r="G109" s="646"/>
    </row>
    <row r="110" spans="1:7">
      <c r="A110" s="656"/>
      <c r="B110" s="750"/>
      <c r="C110" s="750"/>
      <c r="D110" s="6"/>
      <c r="E110" s="6"/>
      <c r="F110" s="6"/>
      <c r="G110" s="646"/>
    </row>
    <row r="111" spans="1:7">
      <c r="A111" s="670" t="s">
        <v>1036</v>
      </c>
      <c r="B111" s="750"/>
      <c r="C111" s="750"/>
      <c r="D111" s="6"/>
      <c r="E111" s="6"/>
      <c r="F111" s="6"/>
      <c r="G111" s="646"/>
    </row>
    <row r="112" spans="1:7">
      <c r="A112" s="656" t="s">
        <v>1037</v>
      </c>
      <c r="B112" s="751">
        <v>326293469</v>
      </c>
      <c r="C112" s="751">
        <v>305811199</v>
      </c>
      <c r="D112" s="6"/>
      <c r="E112" s="6"/>
      <c r="F112" s="6"/>
      <c r="G112" s="646"/>
    </row>
    <row r="113" spans="1:7">
      <c r="A113" s="656"/>
      <c r="B113" s="750"/>
      <c r="C113" s="750"/>
      <c r="D113" s="6"/>
      <c r="E113" s="6"/>
      <c r="F113" s="6"/>
      <c r="G113" s="646"/>
    </row>
    <row r="114" spans="1:7">
      <c r="A114" s="656" t="s">
        <v>1038</v>
      </c>
      <c r="B114" s="750"/>
      <c r="C114" s="750"/>
      <c r="D114" s="6"/>
      <c r="E114" s="6"/>
      <c r="F114" s="6"/>
      <c r="G114" s="646"/>
    </row>
    <row r="115" spans="1:7">
      <c r="A115" s="656" t="s">
        <v>1435</v>
      </c>
      <c r="B115" s="750">
        <v>277092934</v>
      </c>
      <c r="C115" s="757">
        <v>0</v>
      </c>
      <c r="D115" s="6"/>
      <c r="E115" s="6"/>
      <c r="F115" s="6"/>
      <c r="G115" s="646"/>
    </row>
    <row r="116" spans="1:7">
      <c r="A116" s="372"/>
      <c r="B116" s="750"/>
      <c r="C116" s="756"/>
      <c r="D116" s="6"/>
      <c r="E116" s="6"/>
      <c r="F116" s="6"/>
      <c r="G116" s="646"/>
    </row>
    <row r="117" spans="1:7">
      <c r="A117" s="664" t="s">
        <v>1039</v>
      </c>
      <c r="B117" s="750"/>
      <c r="C117" s="756"/>
      <c r="D117" s="6"/>
      <c r="E117" s="6"/>
      <c r="F117" s="6"/>
      <c r="G117" s="646"/>
    </row>
    <row r="118" spans="1:7">
      <c r="A118" s="372" t="s">
        <v>968</v>
      </c>
      <c r="B118" s="750">
        <v>43152919</v>
      </c>
      <c r="C118" s="757">
        <v>36127789</v>
      </c>
      <c r="D118" s="6"/>
      <c r="E118" s="6"/>
      <c r="F118" s="6"/>
      <c r="G118" s="646"/>
    </row>
    <row r="119" spans="1:7">
      <c r="A119" s="372" t="s">
        <v>969</v>
      </c>
      <c r="B119" s="750">
        <v>16898756</v>
      </c>
      <c r="C119" s="750">
        <v>62639479</v>
      </c>
      <c r="D119" s="6"/>
      <c r="E119" s="6"/>
      <c r="F119" s="6"/>
      <c r="G119" s="646"/>
    </row>
    <row r="120" spans="1:7">
      <c r="A120" s="372" t="s">
        <v>970</v>
      </c>
      <c r="B120" s="750">
        <v>6504894</v>
      </c>
      <c r="C120" s="757">
        <v>2150402</v>
      </c>
      <c r="D120" s="6"/>
      <c r="E120" s="6"/>
      <c r="F120" s="6"/>
      <c r="G120" s="646"/>
    </row>
    <row r="121" spans="1:7">
      <c r="A121" s="372" t="s">
        <v>1040</v>
      </c>
      <c r="B121" s="750">
        <v>21426158</v>
      </c>
      <c r="C121" s="757">
        <v>5949698</v>
      </c>
      <c r="D121" s="6"/>
      <c r="E121" s="6"/>
      <c r="F121" s="6"/>
      <c r="G121" s="646"/>
    </row>
    <row r="122" spans="1:7">
      <c r="A122" s="372" t="s">
        <v>1013</v>
      </c>
      <c r="B122" s="750">
        <v>75346181</v>
      </c>
      <c r="C122" s="757">
        <v>45837699</v>
      </c>
      <c r="D122" s="6"/>
      <c r="E122" s="6"/>
      <c r="F122" s="6"/>
      <c r="G122" s="646"/>
    </row>
    <row r="123" spans="1:7">
      <c r="A123" s="372" t="s">
        <v>1041</v>
      </c>
      <c r="B123" s="750">
        <v>19399260</v>
      </c>
      <c r="C123" s="757">
        <v>16667435</v>
      </c>
      <c r="D123" s="6"/>
      <c r="E123" s="6"/>
      <c r="F123" s="6"/>
      <c r="G123" s="646"/>
    </row>
    <row r="124" spans="1:7">
      <c r="A124" s="372" t="s">
        <v>986</v>
      </c>
      <c r="B124" s="750">
        <v>484384</v>
      </c>
      <c r="C124" s="757">
        <v>5903776</v>
      </c>
      <c r="D124" s="6"/>
      <c r="E124" s="6"/>
      <c r="F124" s="6"/>
      <c r="G124" s="646"/>
    </row>
    <row r="125" spans="1:7">
      <c r="A125" s="372" t="s">
        <v>987</v>
      </c>
      <c r="B125" s="750">
        <v>7825070</v>
      </c>
      <c r="C125" s="757">
        <v>8348216</v>
      </c>
      <c r="D125" s="6"/>
      <c r="E125" s="6"/>
      <c r="F125" s="6"/>
      <c r="G125" s="646"/>
    </row>
    <row r="126" spans="1:7">
      <c r="A126" s="372" t="s">
        <v>988</v>
      </c>
      <c r="B126" s="750">
        <v>0</v>
      </c>
      <c r="C126" s="757">
        <v>2514486</v>
      </c>
      <c r="D126" s="6"/>
      <c r="E126" s="6"/>
      <c r="F126" s="6"/>
      <c r="G126" s="646"/>
    </row>
    <row r="127" spans="1:7">
      <c r="A127" s="372" t="s">
        <v>989</v>
      </c>
      <c r="B127" s="750">
        <v>6103481</v>
      </c>
      <c r="C127" s="757">
        <v>0</v>
      </c>
      <c r="D127" s="6"/>
      <c r="E127" s="6"/>
      <c r="F127" s="6"/>
      <c r="G127" s="646"/>
    </row>
    <row r="128" spans="1:7">
      <c r="A128" s="372" t="s">
        <v>990</v>
      </c>
      <c r="B128" s="750">
        <v>478635</v>
      </c>
      <c r="C128" s="757">
        <v>7000000</v>
      </c>
      <c r="D128" s="6"/>
      <c r="E128" s="6"/>
      <c r="F128" s="6"/>
      <c r="G128" s="646"/>
    </row>
    <row r="129" spans="1:7">
      <c r="A129" s="372" t="s">
        <v>1042</v>
      </c>
      <c r="B129" s="750">
        <v>62383254</v>
      </c>
      <c r="C129" s="757">
        <v>76572486</v>
      </c>
      <c r="D129" s="6"/>
      <c r="E129" s="6"/>
      <c r="F129" s="6"/>
      <c r="G129" s="646"/>
    </row>
    <row r="130" spans="1:7">
      <c r="A130" s="372" t="s">
        <v>1043</v>
      </c>
      <c r="B130" s="750">
        <v>82378860</v>
      </c>
      <c r="C130" s="757">
        <v>53133673</v>
      </c>
      <c r="D130" s="6"/>
      <c r="E130" s="6"/>
      <c r="F130" s="6"/>
      <c r="G130" s="646"/>
    </row>
    <row r="131" spans="1:7">
      <c r="A131" s="372" t="s">
        <v>1044</v>
      </c>
      <c r="B131" s="750">
        <v>578054951</v>
      </c>
      <c r="C131" s="757">
        <v>207158730</v>
      </c>
      <c r="D131" s="6"/>
      <c r="E131" s="6"/>
      <c r="F131" s="6"/>
      <c r="G131" s="646"/>
    </row>
    <row r="132" spans="1:7">
      <c r="A132" s="372" t="s">
        <v>1045</v>
      </c>
      <c r="B132" s="750">
        <v>17345709464</v>
      </c>
      <c r="C132" s="757">
        <f>17848004217+305811199</f>
        <v>18153815416</v>
      </c>
      <c r="D132" s="98"/>
      <c r="E132" s="98"/>
      <c r="F132" s="6"/>
      <c r="G132" s="646"/>
    </row>
    <row r="133" spans="1:7">
      <c r="A133" s="372" t="s">
        <v>1046</v>
      </c>
      <c r="B133" s="750">
        <v>9637530</v>
      </c>
      <c r="C133" s="757">
        <v>5674704</v>
      </c>
      <c r="D133" s="6"/>
      <c r="E133" s="6"/>
      <c r="F133" s="6"/>
      <c r="G133" s="646"/>
    </row>
    <row r="134" spans="1:7">
      <c r="A134" s="372" t="s">
        <v>1047</v>
      </c>
      <c r="B134" s="750">
        <v>8784682</v>
      </c>
      <c r="C134" s="757">
        <v>27622476</v>
      </c>
      <c r="D134" s="98"/>
      <c r="E134" s="6"/>
      <c r="F134" s="6"/>
      <c r="G134" s="646"/>
    </row>
    <row r="135" spans="1:7">
      <c r="A135" s="372" t="s">
        <v>1048</v>
      </c>
      <c r="B135" s="750">
        <v>4733755434</v>
      </c>
      <c r="C135" s="757">
        <v>2224504391</v>
      </c>
      <c r="D135" s="6"/>
      <c r="E135" s="98"/>
      <c r="F135" s="6"/>
      <c r="G135" s="646"/>
    </row>
    <row r="136" spans="1:7">
      <c r="A136" s="372" t="s">
        <v>1049</v>
      </c>
      <c r="B136" s="750">
        <v>3661909672.6999998</v>
      </c>
      <c r="C136" s="757">
        <v>0</v>
      </c>
      <c r="D136" s="214"/>
      <c r="E136" s="98"/>
      <c r="F136" s="6"/>
      <c r="G136" s="646"/>
    </row>
    <row r="137" spans="1:7">
      <c r="A137" s="372"/>
      <c r="B137" s="750"/>
      <c r="C137" s="756"/>
      <c r="D137" s="6"/>
      <c r="E137" s="98"/>
      <c r="F137" s="6"/>
      <c r="G137" s="646"/>
    </row>
    <row r="138" spans="1:7">
      <c r="A138" s="664" t="s">
        <v>1050</v>
      </c>
      <c r="B138" s="750"/>
      <c r="C138" s="756"/>
      <c r="D138" s="6"/>
      <c r="E138" s="98"/>
      <c r="F138" s="6"/>
      <c r="G138" s="646"/>
    </row>
    <row r="139" spans="1:7">
      <c r="A139" s="372" t="s">
        <v>1049</v>
      </c>
      <c r="B139" s="822">
        <v>336565765.99999994</v>
      </c>
      <c r="C139" s="757">
        <v>2138128972</v>
      </c>
      <c r="D139" s="6"/>
      <c r="E139" s="98"/>
      <c r="F139" s="6"/>
      <c r="G139" s="646"/>
    </row>
    <row r="140" spans="1:7">
      <c r="A140" s="372"/>
      <c r="B140" s="772"/>
      <c r="C140" s="757"/>
      <c r="D140" s="6"/>
      <c r="E140" s="98"/>
      <c r="F140" s="6"/>
      <c r="G140" s="646"/>
    </row>
    <row r="141" spans="1:7">
      <c r="A141" s="664" t="s">
        <v>1051</v>
      </c>
      <c r="B141" s="772"/>
      <c r="C141" s="757"/>
      <c r="D141" s="6"/>
      <c r="E141" s="98"/>
      <c r="F141" s="6"/>
      <c r="G141" s="646"/>
    </row>
    <row r="142" spans="1:7">
      <c r="A142" s="372" t="s">
        <v>485</v>
      </c>
      <c r="B142" s="772">
        <v>1781889794</v>
      </c>
      <c r="C142" s="757">
        <v>1422263993</v>
      </c>
      <c r="D142" s="6"/>
      <c r="E142" s="98"/>
      <c r="F142" s="6"/>
      <c r="G142" s="646"/>
    </row>
    <row r="143" spans="1:7">
      <c r="B143" s="773"/>
      <c r="C143" s="750"/>
    </row>
    <row r="144" spans="1:7">
      <c r="A144" s="669" t="s">
        <v>1052</v>
      </c>
      <c r="B144" s="772"/>
      <c r="C144" s="755"/>
      <c r="D144" s="6"/>
      <c r="E144" s="6"/>
      <c r="F144" s="6"/>
      <c r="G144" s="646"/>
    </row>
    <row r="145" spans="1:7">
      <c r="A145" s="372" t="s">
        <v>1053</v>
      </c>
      <c r="B145" s="772">
        <v>506801016</v>
      </c>
      <c r="C145" s="757">
        <v>81818182</v>
      </c>
      <c r="D145" s="6"/>
      <c r="E145" s="6"/>
      <c r="F145" s="6"/>
      <c r="G145" s="646"/>
    </row>
    <row r="146" spans="1:7">
      <c r="A146" s="372" t="s">
        <v>1054</v>
      </c>
      <c r="B146" s="772">
        <v>29649091</v>
      </c>
      <c r="C146" s="757">
        <v>7545455</v>
      </c>
      <c r="D146" s="6"/>
      <c r="E146" s="6"/>
      <c r="F146" s="6"/>
      <c r="G146" s="646"/>
    </row>
    <row r="147" spans="1:7">
      <c r="A147" s="372" t="s">
        <v>1430</v>
      </c>
      <c r="B147" s="772">
        <v>252901807</v>
      </c>
      <c r="C147" s="757">
        <v>0</v>
      </c>
      <c r="D147" s="6"/>
      <c r="E147" s="6"/>
      <c r="F147" s="6"/>
      <c r="G147" s="646"/>
    </row>
    <row r="148" spans="1:7">
      <c r="A148" s="665" t="s">
        <v>467</v>
      </c>
      <c r="B148" s="775">
        <f>SUM(B7:B147)</f>
        <v>144607366084.70001</v>
      </c>
      <c r="C148" s="774">
        <f>SUM(C7:C147)</f>
        <v>123062475659</v>
      </c>
      <c r="D148" s="6"/>
      <c r="E148" s="98"/>
      <c r="F148" s="6"/>
      <c r="G148" s="663"/>
    </row>
    <row r="149" spans="1:7">
      <c r="A149" s="261"/>
      <c r="B149" s="158"/>
      <c r="C149" s="158"/>
      <c r="D149" s="6"/>
      <c r="E149" s="6"/>
      <c r="F149" s="98"/>
      <c r="G149" s="646"/>
    </row>
    <row r="150" spans="1:7">
      <c r="A150" s="6"/>
      <c r="B150" s="6"/>
      <c r="C150" s="98"/>
      <c r="D150" s="6"/>
      <c r="E150" s="98"/>
      <c r="F150" s="6"/>
      <c r="G150" s="646"/>
    </row>
    <row r="151" spans="1:7">
      <c r="A151" s="6"/>
      <c r="B151" s="6"/>
      <c r="D151" s="6"/>
      <c r="E151" s="6"/>
      <c r="F151" s="6"/>
      <c r="G151" s="646"/>
    </row>
    <row r="152" spans="1:7">
      <c r="A152" s="6"/>
      <c r="B152" s="6"/>
      <c r="D152" s="6"/>
      <c r="E152" s="6"/>
      <c r="F152" s="6"/>
      <c r="G152" s="646"/>
    </row>
    <row r="153" spans="1:7">
      <c r="A153" s="6"/>
      <c r="B153" s="6"/>
      <c r="D153" s="6"/>
      <c r="E153" s="6"/>
      <c r="F153" s="6"/>
      <c r="G153" s="646"/>
    </row>
    <row r="154" spans="1:7">
      <c r="A154" s="6"/>
      <c r="B154" s="6"/>
      <c r="D154" s="6"/>
      <c r="E154" s="6"/>
      <c r="F154" s="6"/>
      <c r="G154" s="646"/>
    </row>
    <row r="155" spans="1:7">
      <c r="A155" s="261"/>
      <c r="B155" s="6"/>
      <c r="D155" s="6"/>
      <c r="E155" s="6"/>
      <c r="F155" s="6"/>
      <c r="G155" s="646"/>
    </row>
    <row r="156" spans="1:7">
      <c r="A156" s="6"/>
      <c r="B156" s="6"/>
      <c r="D156" s="6"/>
      <c r="E156" s="6"/>
      <c r="F156" s="6"/>
      <c r="G156" s="646"/>
    </row>
    <row r="157" spans="1:7">
      <c r="A157" s="1015"/>
      <c r="B157" s="1015"/>
      <c r="C157" s="1015"/>
      <c r="D157" s="1015"/>
      <c r="E157" s="1015"/>
      <c r="F157" s="1015"/>
      <c r="G157" s="666"/>
    </row>
    <row r="158" spans="1:7">
      <c r="A158" s="64"/>
      <c r="B158" s="64"/>
      <c r="C158" s="64"/>
      <c r="D158" s="64"/>
      <c r="E158" s="64"/>
      <c r="F158" s="64"/>
      <c r="G158" s="666"/>
    </row>
    <row r="159" spans="1:7">
      <c r="A159" s="82"/>
      <c r="B159" s="409"/>
      <c r="C159" s="409"/>
      <c r="D159" s="64"/>
      <c r="E159" s="64"/>
      <c r="F159" s="64"/>
      <c r="G159" s="666"/>
    </row>
    <row r="160" spans="1:7">
      <c r="A160" s="667"/>
      <c r="B160" s="668"/>
      <c r="C160" s="64"/>
      <c r="D160" s="668"/>
      <c r="E160" s="668"/>
      <c r="F160" s="668"/>
      <c r="G160" s="666"/>
    </row>
    <row r="161" spans="1:7">
      <c r="A161" s="668"/>
      <c r="B161" s="668"/>
      <c r="C161" s="64"/>
      <c r="D161" s="668"/>
      <c r="E161" s="668"/>
      <c r="F161" s="668"/>
      <c r="G161" s="666"/>
    </row>
    <row r="162" spans="1:7">
      <c r="A162" s="668"/>
      <c r="B162" s="668"/>
      <c r="C162" s="64"/>
      <c r="D162" s="668"/>
      <c r="E162" s="668"/>
      <c r="F162" s="668"/>
      <c r="G162" s="666"/>
    </row>
    <row r="163" spans="1:7">
      <c r="A163" s="667"/>
      <c r="B163" s="668"/>
      <c r="C163" s="64"/>
      <c r="D163" s="668"/>
      <c r="E163" s="668"/>
      <c r="F163" s="668"/>
      <c r="G163" s="666"/>
    </row>
    <row r="164" spans="1:7">
      <c r="A164" s="668"/>
      <c r="B164" s="668"/>
      <c r="C164" s="64"/>
      <c r="D164" s="668"/>
      <c r="E164" s="668"/>
      <c r="F164" s="668"/>
      <c r="G164" s="666"/>
    </row>
    <row r="165" spans="1:7">
      <c r="A165" s="668"/>
      <c r="B165" s="668"/>
      <c r="C165" s="64"/>
      <c r="D165" s="668"/>
      <c r="E165" s="668"/>
      <c r="F165" s="668"/>
      <c r="G165" s="666"/>
    </row>
    <row r="166" spans="1:7">
      <c r="A166" s="667"/>
      <c r="B166" s="668"/>
      <c r="C166" s="64"/>
      <c r="D166" s="668"/>
      <c r="E166" s="668"/>
      <c r="F166" s="668"/>
      <c r="G166" s="666"/>
    </row>
    <row r="167" spans="1:7">
      <c r="A167" s="668"/>
      <c r="B167" s="668"/>
      <c r="C167" s="64"/>
      <c r="D167" s="668"/>
      <c r="E167" s="668"/>
      <c r="F167" s="668"/>
      <c r="G167" s="666"/>
    </row>
    <row r="168" spans="1:7">
      <c r="A168" s="668"/>
      <c r="B168" s="668"/>
      <c r="C168" s="64"/>
      <c r="D168" s="668"/>
      <c r="E168" s="668"/>
      <c r="F168" s="668"/>
      <c r="G168" s="666"/>
    </row>
    <row r="169" spans="1:7">
      <c r="A169" s="668"/>
      <c r="B169" s="668"/>
      <c r="C169" s="64"/>
      <c r="D169" s="668"/>
      <c r="E169" s="668"/>
      <c r="F169" s="668"/>
      <c r="G169" s="666"/>
    </row>
  </sheetData>
  <mergeCells count="1">
    <mergeCell ref="A157:F157"/>
  </mergeCells>
  <hyperlinks>
    <hyperlink ref="C1" location="Indice!A1" display="Indice" xr:uid="{77D851CA-061C-4EE7-A453-DBC7E486CD3A}"/>
  </hyperlinks>
  <pageMargins left="0.98425196850393704" right="0.39370078740157483" top="1.9685039370078741" bottom="0.74803149606299213" header="0.31496062992125984" footer="0.31496062992125984"/>
  <pageSetup scale="8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0450-B248-4136-A564-99E5746AEE0A}">
  <dimension ref="A1:C179"/>
  <sheetViews>
    <sheetView topLeftCell="A10" workbookViewId="0">
      <selection activeCell="B11" sqref="B11"/>
    </sheetView>
  </sheetViews>
  <sheetFormatPr baseColWidth="10" defaultColWidth="11.42578125" defaultRowHeight="15"/>
  <cols>
    <col min="2" max="2" width="66.140625" bestFit="1" customWidth="1"/>
  </cols>
  <sheetData>
    <row r="1" spans="1:3">
      <c r="A1" t="s">
        <v>669</v>
      </c>
      <c r="B1" t="s">
        <v>1055</v>
      </c>
      <c r="C1" s="15" t="s">
        <v>949</v>
      </c>
    </row>
    <row r="2" spans="1:3">
      <c r="A2" t="s">
        <v>661</v>
      </c>
      <c r="B2" t="s">
        <v>1056</v>
      </c>
    </row>
    <row r="3" spans="1:3">
      <c r="A3" t="s">
        <v>1057</v>
      </c>
      <c r="B3" t="s">
        <v>1058</v>
      </c>
    </row>
    <row r="4" spans="1:3">
      <c r="A4" t="s">
        <v>1059</v>
      </c>
      <c r="B4" t="s">
        <v>1060</v>
      </c>
    </row>
    <row r="5" spans="1:3">
      <c r="A5" t="s">
        <v>1061</v>
      </c>
      <c r="B5" t="s">
        <v>1062</v>
      </c>
    </row>
    <row r="6" spans="1:3">
      <c r="A6" t="s">
        <v>1063</v>
      </c>
      <c r="B6" t="s">
        <v>1064</v>
      </c>
    </row>
    <row r="7" spans="1:3">
      <c r="A7" t="s">
        <v>1065</v>
      </c>
      <c r="B7" t="s">
        <v>1066</v>
      </c>
    </row>
    <row r="8" spans="1:3">
      <c r="A8" t="s">
        <v>1067</v>
      </c>
      <c r="B8" t="s">
        <v>1068</v>
      </c>
    </row>
    <row r="9" spans="1:3">
      <c r="A9" t="s">
        <v>1069</v>
      </c>
      <c r="B9" t="s">
        <v>1070</v>
      </c>
    </row>
    <row r="10" spans="1:3">
      <c r="A10" t="s">
        <v>1071</v>
      </c>
      <c r="B10" t="s">
        <v>1072</v>
      </c>
    </row>
    <row r="11" spans="1:3">
      <c r="A11" t="s">
        <v>1073</v>
      </c>
      <c r="B11" t="s">
        <v>1074</v>
      </c>
    </row>
    <row r="12" spans="1:3">
      <c r="A12" t="s">
        <v>1075</v>
      </c>
      <c r="B12" t="s">
        <v>1076</v>
      </c>
    </row>
    <row r="13" spans="1:3">
      <c r="A13" t="s">
        <v>1077</v>
      </c>
      <c r="B13" t="s">
        <v>1078</v>
      </c>
    </row>
    <row r="14" spans="1:3">
      <c r="A14" t="s">
        <v>1079</v>
      </c>
      <c r="B14" t="s">
        <v>1080</v>
      </c>
    </row>
    <row r="15" spans="1:3">
      <c r="A15" t="s">
        <v>1081</v>
      </c>
      <c r="B15" t="s">
        <v>1082</v>
      </c>
    </row>
    <row r="16" spans="1:3">
      <c r="A16" t="s">
        <v>1083</v>
      </c>
      <c r="B16" t="s">
        <v>1084</v>
      </c>
    </row>
    <row r="17" spans="1:2">
      <c r="A17" t="s">
        <v>1085</v>
      </c>
      <c r="B17" t="s">
        <v>1086</v>
      </c>
    </row>
    <row r="18" spans="1:2">
      <c r="A18" t="s">
        <v>1087</v>
      </c>
      <c r="B18" t="s">
        <v>1088</v>
      </c>
    </row>
    <row r="19" spans="1:2">
      <c r="A19" t="s">
        <v>1089</v>
      </c>
      <c r="B19" t="s">
        <v>1090</v>
      </c>
    </row>
    <row r="20" spans="1:2">
      <c r="A20" t="s">
        <v>1091</v>
      </c>
      <c r="B20" t="s">
        <v>1092</v>
      </c>
    </row>
    <row r="21" spans="1:2">
      <c r="A21" t="s">
        <v>1093</v>
      </c>
      <c r="B21" t="s">
        <v>1094</v>
      </c>
    </row>
    <row r="22" spans="1:2">
      <c r="A22" t="s">
        <v>1095</v>
      </c>
      <c r="B22" t="s">
        <v>1096</v>
      </c>
    </row>
    <row r="23" spans="1:2">
      <c r="A23" t="s">
        <v>1097</v>
      </c>
      <c r="B23" t="s">
        <v>1098</v>
      </c>
    </row>
    <row r="24" spans="1:2">
      <c r="A24" t="s">
        <v>1099</v>
      </c>
      <c r="B24" t="s">
        <v>1100</v>
      </c>
    </row>
    <row r="25" spans="1:2">
      <c r="A25" t="s">
        <v>1101</v>
      </c>
      <c r="B25" t="s">
        <v>1102</v>
      </c>
    </row>
    <row r="26" spans="1:2">
      <c r="A26" t="s">
        <v>1103</v>
      </c>
      <c r="B26" t="s">
        <v>1104</v>
      </c>
    </row>
    <row r="27" spans="1:2">
      <c r="A27" t="s">
        <v>1105</v>
      </c>
      <c r="B27" t="s">
        <v>1106</v>
      </c>
    </row>
    <row r="28" spans="1:2">
      <c r="A28" t="s">
        <v>1107</v>
      </c>
      <c r="B28" t="s">
        <v>1108</v>
      </c>
    </row>
    <row r="29" spans="1:2">
      <c r="A29" t="s">
        <v>1109</v>
      </c>
      <c r="B29" t="s">
        <v>1110</v>
      </c>
    </row>
    <row r="30" spans="1:2">
      <c r="A30" t="s">
        <v>1111</v>
      </c>
      <c r="B30" t="s">
        <v>1112</v>
      </c>
    </row>
    <row r="31" spans="1:2">
      <c r="A31" t="s">
        <v>1113</v>
      </c>
      <c r="B31" t="s">
        <v>1114</v>
      </c>
    </row>
    <row r="32" spans="1:2">
      <c r="A32" t="s">
        <v>1115</v>
      </c>
      <c r="B32" t="s">
        <v>1116</v>
      </c>
    </row>
    <row r="33" spans="1:2">
      <c r="A33" t="s">
        <v>1117</v>
      </c>
      <c r="B33" t="s">
        <v>1118</v>
      </c>
    </row>
    <row r="34" spans="1:2">
      <c r="A34" t="s">
        <v>1119</v>
      </c>
      <c r="B34" t="s">
        <v>1120</v>
      </c>
    </row>
    <row r="35" spans="1:2">
      <c r="A35" t="s">
        <v>1121</v>
      </c>
      <c r="B35" t="s">
        <v>1122</v>
      </c>
    </row>
    <row r="36" spans="1:2">
      <c r="A36" t="s">
        <v>1123</v>
      </c>
      <c r="B36" t="s">
        <v>1124</v>
      </c>
    </row>
    <row r="37" spans="1:2">
      <c r="A37" t="s">
        <v>1125</v>
      </c>
      <c r="B37" t="s">
        <v>1126</v>
      </c>
    </row>
    <row r="38" spans="1:2">
      <c r="A38" t="s">
        <v>1127</v>
      </c>
      <c r="B38" t="s">
        <v>1128</v>
      </c>
    </row>
    <row r="39" spans="1:2">
      <c r="A39" t="s">
        <v>1129</v>
      </c>
      <c r="B39" t="s">
        <v>1130</v>
      </c>
    </row>
    <row r="40" spans="1:2">
      <c r="A40" t="s">
        <v>1131</v>
      </c>
      <c r="B40" t="s">
        <v>1132</v>
      </c>
    </row>
    <row r="41" spans="1:2">
      <c r="A41" t="s">
        <v>1133</v>
      </c>
      <c r="B41" t="s">
        <v>1134</v>
      </c>
    </row>
    <row r="42" spans="1:2">
      <c r="A42" t="s">
        <v>1135</v>
      </c>
      <c r="B42" t="s">
        <v>1136</v>
      </c>
    </row>
    <row r="43" spans="1:2">
      <c r="A43" t="s">
        <v>1137</v>
      </c>
      <c r="B43" t="s">
        <v>1138</v>
      </c>
    </row>
    <row r="44" spans="1:2">
      <c r="A44" t="s">
        <v>1139</v>
      </c>
      <c r="B44" t="s">
        <v>1140</v>
      </c>
    </row>
    <row r="45" spans="1:2">
      <c r="A45" t="s">
        <v>1141</v>
      </c>
      <c r="B45" t="s">
        <v>1142</v>
      </c>
    </row>
    <row r="46" spans="1:2">
      <c r="A46" t="s">
        <v>1143</v>
      </c>
      <c r="B46" t="s">
        <v>1144</v>
      </c>
    </row>
    <row r="47" spans="1:2">
      <c r="A47" t="s">
        <v>1145</v>
      </c>
      <c r="B47" t="s">
        <v>1146</v>
      </c>
    </row>
    <row r="48" spans="1:2">
      <c r="A48" t="s">
        <v>1147</v>
      </c>
      <c r="B48" t="s">
        <v>1148</v>
      </c>
    </row>
    <row r="49" spans="1:2">
      <c r="A49" t="s">
        <v>1149</v>
      </c>
      <c r="B49" t="s">
        <v>1150</v>
      </c>
    </row>
    <row r="50" spans="1:2">
      <c r="A50" t="s">
        <v>1151</v>
      </c>
      <c r="B50" t="s">
        <v>1152</v>
      </c>
    </row>
    <row r="51" spans="1:2">
      <c r="A51" t="s">
        <v>1153</v>
      </c>
      <c r="B51" t="s">
        <v>1154</v>
      </c>
    </row>
    <row r="52" spans="1:2">
      <c r="A52" t="s">
        <v>1155</v>
      </c>
      <c r="B52" t="s">
        <v>1156</v>
      </c>
    </row>
    <row r="53" spans="1:2">
      <c r="A53" t="s">
        <v>1157</v>
      </c>
      <c r="B53" t="s">
        <v>1158</v>
      </c>
    </row>
    <row r="54" spans="1:2">
      <c r="A54" t="s">
        <v>1159</v>
      </c>
      <c r="B54" t="s">
        <v>1160</v>
      </c>
    </row>
    <row r="55" spans="1:2">
      <c r="A55" t="s">
        <v>1161</v>
      </c>
      <c r="B55" t="s">
        <v>1162</v>
      </c>
    </row>
    <row r="56" spans="1:2">
      <c r="A56" t="s">
        <v>1163</v>
      </c>
      <c r="B56" t="s">
        <v>1164</v>
      </c>
    </row>
    <row r="57" spans="1:2">
      <c r="A57" t="s">
        <v>1165</v>
      </c>
      <c r="B57" t="s">
        <v>1166</v>
      </c>
    </row>
    <row r="58" spans="1:2">
      <c r="A58" t="s">
        <v>1167</v>
      </c>
      <c r="B58" t="s">
        <v>1168</v>
      </c>
    </row>
    <row r="59" spans="1:2">
      <c r="A59" t="s">
        <v>1169</v>
      </c>
      <c r="B59" t="s">
        <v>1170</v>
      </c>
    </row>
    <row r="60" spans="1:2">
      <c r="A60" t="s">
        <v>1171</v>
      </c>
      <c r="B60" t="s">
        <v>1172</v>
      </c>
    </row>
    <row r="61" spans="1:2">
      <c r="A61" t="s">
        <v>1173</v>
      </c>
      <c r="B61" t="s">
        <v>1174</v>
      </c>
    </row>
    <row r="62" spans="1:2">
      <c r="A62" t="s">
        <v>1175</v>
      </c>
      <c r="B62" t="s">
        <v>1176</v>
      </c>
    </row>
    <row r="63" spans="1:2">
      <c r="A63" t="s">
        <v>1177</v>
      </c>
      <c r="B63" t="s">
        <v>1178</v>
      </c>
    </row>
    <row r="64" spans="1:2">
      <c r="A64" t="s">
        <v>1179</v>
      </c>
      <c r="B64" t="s">
        <v>1180</v>
      </c>
    </row>
    <row r="65" spans="1:2">
      <c r="A65" t="s">
        <v>1181</v>
      </c>
      <c r="B65" t="s">
        <v>1182</v>
      </c>
    </row>
    <row r="66" spans="1:2">
      <c r="A66" t="s">
        <v>1183</v>
      </c>
      <c r="B66" t="s">
        <v>1184</v>
      </c>
    </row>
    <row r="67" spans="1:2">
      <c r="A67" t="s">
        <v>1185</v>
      </c>
      <c r="B67" t="s">
        <v>1186</v>
      </c>
    </row>
    <row r="68" spans="1:2">
      <c r="A68" t="s">
        <v>1187</v>
      </c>
      <c r="B68" t="s">
        <v>1188</v>
      </c>
    </row>
    <row r="69" spans="1:2">
      <c r="A69" t="s">
        <v>1189</v>
      </c>
      <c r="B69" t="s">
        <v>1190</v>
      </c>
    </row>
    <row r="70" spans="1:2">
      <c r="A70" t="s">
        <v>1191</v>
      </c>
      <c r="B70" t="s">
        <v>1192</v>
      </c>
    </row>
    <row r="71" spans="1:2">
      <c r="A71" t="s">
        <v>1193</v>
      </c>
      <c r="B71" t="s">
        <v>1194</v>
      </c>
    </row>
    <row r="72" spans="1:2">
      <c r="A72" t="s">
        <v>1195</v>
      </c>
      <c r="B72" t="s">
        <v>1196</v>
      </c>
    </row>
    <row r="73" spans="1:2">
      <c r="A73" t="s">
        <v>1197</v>
      </c>
      <c r="B73" t="s">
        <v>1198</v>
      </c>
    </row>
    <row r="74" spans="1:2">
      <c r="A74" t="s">
        <v>1199</v>
      </c>
      <c r="B74" t="s">
        <v>1200</v>
      </c>
    </row>
    <row r="75" spans="1:2">
      <c r="A75" t="s">
        <v>1201</v>
      </c>
      <c r="B75" t="s">
        <v>1202</v>
      </c>
    </row>
    <row r="76" spans="1:2">
      <c r="A76" t="s">
        <v>1203</v>
      </c>
      <c r="B76" t="s">
        <v>1204</v>
      </c>
    </row>
    <row r="77" spans="1:2">
      <c r="A77" t="s">
        <v>1205</v>
      </c>
      <c r="B77" t="s">
        <v>1206</v>
      </c>
    </row>
    <row r="78" spans="1:2">
      <c r="A78" t="s">
        <v>1207</v>
      </c>
      <c r="B78" t="s">
        <v>1208</v>
      </c>
    </row>
    <row r="79" spans="1:2">
      <c r="A79" t="s">
        <v>1209</v>
      </c>
      <c r="B79" t="s">
        <v>1210</v>
      </c>
    </row>
    <row r="80" spans="1:2">
      <c r="A80" t="s">
        <v>1211</v>
      </c>
      <c r="B80" t="s">
        <v>1212</v>
      </c>
    </row>
    <row r="81" spans="1:2">
      <c r="A81" t="s">
        <v>1213</v>
      </c>
      <c r="B81" t="s">
        <v>1214</v>
      </c>
    </row>
    <row r="82" spans="1:2">
      <c r="A82" t="s">
        <v>1215</v>
      </c>
      <c r="B82" t="s">
        <v>1216</v>
      </c>
    </row>
    <row r="83" spans="1:2">
      <c r="A83" t="s">
        <v>1217</v>
      </c>
      <c r="B83" t="s">
        <v>1218</v>
      </c>
    </row>
    <row r="84" spans="1:2">
      <c r="A84" t="s">
        <v>1219</v>
      </c>
      <c r="B84" t="s">
        <v>1220</v>
      </c>
    </row>
    <row r="85" spans="1:2">
      <c r="A85" t="s">
        <v>1221</v>
      </c>
      <c r="B85" t="s">
        <v>1222</v>
      </c>
    </row>
    <row r="86" spans="1:2">
      <c r="A86" t="s">
        <v>1223</v>
      </c>
      <c r="B86" t="s">
        <v>1224</v>
      </c>
    </row>
    <row r="87" spans="1:2">
      <c r="A87" t="s">
        <v>1225</v>
      </c>
      <c r="B87" t="s">
        <v>1226</v>
      </c>
    </row>
    <row r="88" spans="1:2">
      <c r="A88" t="s">
        <v>1227</v>
      </c>
      <c r="B88" t="s">
        <v>1228</v>
      </c>
    </row>
    <row r="89" spans="1:2">
      <c r="A89" t="s">
        <v>1229</v>
      </c>
      <c r="B89" t="s">
        <v>1230</v>
      </c>
    </row>
    <row r="90" spans="1:2">
      <c r="A90" t="s">
        <v>1231</v>
      </c>
      <c r="B90" t="s">
        <v>1232</v>
      </c>
    </row>
    <row r="91" spans="1:2">
      <c r="A91" t="s">
        <v>1233</v>
      </c>
      <c r="B91" t="s">
        <v>1234</v>
      </c>
    </row>
    <row r="92" spans="1:2">
      <c r="A92" t="s">
        <v>1235</v>
      </c>
      <c r="B92" t="s">
        <v>1236</v>
      </c>
    </row>
    <row r="93" spans="1:2">
      <c r="A93" t="s">
        <v>1237</v>
      </c>
      <c r="B93" t="s">
        <v>1238</v>
      </c>
    </row>
    <row r="94" spans="1:2">
      <c r="A94" t="s">
        <v>1239</v>
      </c>
      <c r="B94" t="s">
        <v>1240</v>
      </c>
    </row>
    <row r="95" spans="1:2">
      <c r="A95" t="s">
        <v>1241</v>
      </c>
      <c r="B95" t="s">
        <v>1242</v>
      </c>
    </row>
    <row r="96" spans="1:2">
      <c r="A96" t="s">
        <v>1243</v>
      </c>
      <c r="B96" t="s">
        <v>1244</v>
      </c>
    </row>
    <row r="97" spans="1:2">
      <c r="A97" t="s">
        <v>1245</v>
      </c>
      <c r="B97" t="s">
        <v>1246</v>
      </c>
    </row>
    <row r="98" spans="1:2">
      <c r="A98" t="s">
        <v>1247</v>
      </c>
      <c r="B98" t="s">
        <v>1248</v>
      </c>
    </row>
    <row r="99" spans="1:2">
      <c r="A99" t="s">
        <v>1249</v>
      </c>
      <c r="B99" t="s">
        <v>1250</v>
      </c>
    </row>
    <row r="100" spans="1:2">
      <c r="A100" t="s">
        <v>1251</v>
      </c>
      <c r="B100" t="s">
        <v>1252</v>
      </c>
    </row>
    <row r="101" spans="1:2">
      <c r="A101" t="s">
        <v>1253</v>
      </c>
      <c r="B101" t="s">
        <v>1254</v>
      </c>
    </row>
    <row r="102" spans="1:2">
      <c r="A102" t="s">
        <v>1255</v>
      </c>
      <c r="B102" t="s">
        <v>1256</v>
      </c>
    </row>
    <row r="103" spans="1:2">
      <c r="A103" t="s">
        <v>1257</v>
      </c>
      <c r="B103" t="s">
        <v>1258</v>
      </c>
    </row>
    <row r="104" spans="1:2">
      <c r="A104" t="s">
        <v>1259</v>
      </c>
      <c r="B104" t="s">
        <v>1260</v>
      </c>
    </row>
    <row r="105" spans="1:2">
      <c r="A105" t="s">
        <v>1261</v>
      </c>
      <c r="B105" t="s">
        <v>1262</v>
      </c>
    </row>
    <row r="106" spans="1:2">
      <c r="A106" t="s">
        <v>1263</v>
      </c>
      <c r="B106" t="s">
        <v>1264</v>
      </c>
    </row>
    <row r="107" spans="1:2">
      <c r="A107" t="s">
        <v>1265</v>
      </c>
      <c r="B107" t="s">
        <v>1266</v>
      </c>
    </row>
    <row r="108" spans="1:2">
      <c r="A108" t="s">
        <v>1267</v>
      </c>
      <c r="B108" t="s">
        <v>1268</v>
      </c>
    </row>
    <row r="109" spans="1:2">
      <c r="A109" t="s">
        <v>1269</v>
      </c>
      <c r="B109" t="s">
        <v>1270</v>
      </c>
    </row>
    <row r="110" spans="1:2">
      <c r="A110" t="s">
        <v>1271</v>
      </c>
      <c r="B110" t="s">
        <v>1272</v>
      </c>
    </row>
    <row r="111" spans="1:2">
      <c r="A111" t="s">
        <v>1273</v>
      </c>
      <c r="B111" t="s">
        <v>1274</v>
      </c>
    </row>
    <row r="112" spans="1:2">
      <c r="A112" t="s">
        <v>1275</v>
      </c>
      <c r="B112" t="s">
        <v>1276</v>
      </c>
    </row>
    <row r="113" spans="1:2">
      <c r="A113" t="s">
        <v>1277</v>
      </c>
      <c r="B113" t="s">
        <v>1278</v>
      </c>
    </row>
    <row r="114" spans="1:2">
      <c r="A114" t="s">
        <v>1279</v>
      </c>
      <c r="B114" t="s">
        <v>1280</v>
      </c>
    </row>
    <row r="115" spans="1:2">
      <c r="A115" t="s">
        <v>1281</v>
      </c>
      <c r="B115" t="s">
        <v>1282</v>
      </c>
    </row>
    <row r="116" spans="1:2">
      <c r="A116" t="s">
        <v>1283</v>
      </c>
      <c r="B116" t="s">
        <v>1284</v>
      </c>
    </row>
    <row r="117" spans="1:2">
      <c r="A117" t="s">
        <v>1285</v>
      </c>
      <c r="B117" t="s">
        <v>1286</v>
      </c>
    </row>
    <row r="118" spans="1:2">
      <c r="A118" t="s">
        <v>1287</v>
      </c>
      <c r="B118" t="s">
        <v>1288</v>
      </c>
    </row>
    <row r="119" spans="1:2">
      <c r="A119" t="s">
        <v>1289</v>
      </c>
      <c r="B119" t="s">
        <v>1290</v>
      </c>
    </row>
    <row r="120" spans="1:2">
      <c r="A120" t="s">
        <v>1291</v>
      </c>
      <c r="B120" t="s">
        <v>1292</v>
      </c>
    </row>
    <row r="121" spans="1:2">
      <c r="A121" t="s">
        <v>1293</v>
      </c>
      <c r="B121" t="s">
        <v>1294</v>
      </c>
    </row>
    <row r="122" spans="1:2">
      <c r="A122" t="s">
        <v>1295</v>
      </c>
      <c r="B122" t="s">
        <v>1296</v>
      </c>
    </row>
    <row r="123" spans="1:2">
      <c r="A123" t="s">
        <v>1297</v>
      </c>
      <c r="B123" t="s">
        <v>1298</v>
      </c>
    </row>
    <row r="124" spans="1:2">
      <c r="A124" t="s">
        <v>1299</v>
      </c>
      <c r="B124" t="s">
        <v>1300</v>
      </c>
    </row>
    <row r="125" spans="1:2">
      <c r="A125" t="s">
        <v>1301</v>
      </c>
      <c r="B125" t="s">
        <v>1302</v>
      </c>
    </row>
    <row r="126" spans="1:2">
      <c r="A126" t="s">
        <v>1303</v>
      </c>
      <c r="B126" t="s">
        <v>1304</v>
      </c>
    </row>
    <row r="127" spans="1:2">
      <c r="A127" t="s">
        <v>1305</v>
      </c>
      <c r="B127" t="s">
        <v>1306</v>
      </c>
    </row>
    <row r="128" spans="1:2">
      <c r="A128" t="s">
        <v>1307</v>
      </c>
      <c r="B128" t="s">
        <v>1308</v>
      </c>
    </row>
    <row r="129" spans="1:2">
      <c r="A129" t="s">
        <v>1309</v>
      </c>
      <c r="B129" t="s">
        <v>1310</v>
      </c>
    </row>
    <row r="130" spans="1:2">
      <c r="A130" t="s">
        <v>1311</v>
      </c>
      <c r="B130" t="s">
        <v>1312</v>
      </c>
    </row>
    <row r="131" spans="1:2">
      <c r="A131" t="s">
        <v>1313</v>
      </c>
      <c r="B131" t="s">
        <v>1314</v>
      </c>
    </row>
    <row r="132" spans="1:2">
      <c r="A132" t="s">
        <v>1315</v>
      </c>
      <c r="B132" t="s">
        <v>1316</v>
      </c>
    </row>
    <row r="133" spans="1:2">
      <c r="A133" t="s">
        <v>1317</v>
      </c>
      <c r="B133" t="s">
        <v>1318</v>
      </c>
    </row>
    <row r="134" spans="1:2">
      <c r="A134" t="s">
        <v>1319</v>
      </c>
      <c r="B134" t="s">
        <v>1320</v>
      </c>
    </row>
    <row r="135" spans="1:2">
      <c r="A135" t="s">
        <v>1321</v>
      </c>
      <c r="B135" t="s">
        <v>1322</v>
      </c>
    </row>
    <row r="136" spans="1:2">
      <c r="A136" t="s">
        <v>1323</v>
      </c>
      <c r="B136" t="s">
        <v>1324</v>
      </c>
    </row>
    <row r="137" spans="1:2">
      <c r="A137" t="s">
        <v>1325</v>
      </c>
      <c r="B137" t="s">
        <v>1326</v>
      </c>
    </row>
    <row r="138" spans="1:2">
      <c r="A138" t="s">
        <v>1327</v>
      </c>
      <c r="B138" t="s">
        <v>1328</v>
      </c>
    </row>
    <row r="139" spans="1:2">
      <c r="A139" t="s">
        <v>1329</v>
      </c>
      <c r="B139" t="s">
        <v>1330</v>
      </c>
    </row>
    <row r="140" spans="1:2">
      <c r="A140" t="s">
        <v>1331</v>
      </c>
      <c r="B140" t="s">
        <v>1332</v>
      </c>
    </row>
    <row r="141" spans="1:2">
      <c r="A141" t="s">
        <v>1333</v>
      </c>
      <c r="B141" t="s">
        <v>1334</v>
      </c>
    </row>
    <row r="142" spans="1:2">
      <c r="A142" t="s">
        <v>1335</v>
      </c>
      <c r="B142" t="s">
        <v>1336</v>
      </c>
    </row>
    <row r="143" spans="1:2">
      <c r="A143" t="s">
        <v>1337</v>
      </c>
      <c r="B143" t="s">
        <v>1338</v>
      </c>
    </row>
    <row r="144" spans="1:2">
      <c r="A144" t="s">
        <v>1339</v>
      </c>
      <c r="B144" t="s">
        <v>1340</v>
      </c>
    </row>
    <row r="145" spans="1:2">
      <c r="A145" t="s">
        <v>1341</v>
      </c>
      <c r="B145" t="s">
        <v>1342</v>
      </c>
    </row>
    <row r="146" spans="1:2">
      <c r="A146" t="s">
        <v>1343</v>
      </c>
      <c r="B146" t="s">
        <v>1344</v>
      </c>
    </row>
    <row r="147" spans="1:2">
      <c r="A147" t="s">
        <v>1345</v>
      </c>
      <c r="B147" t="s">
        <v>1346</v>
      </c>
    </row>
    <row r="148" spans="1:2">
      <c r="A148" t="s">
        <v>1347</v>
      </c>
      <c r="B148" t="s">
        <v>1348</v>
      </c>
    </row>
    <row r="149" spans="1:2">
      <c r="A149" t="s">
        <v>1349</v>
      </c>
      <c r="B149" t="s">
        <v>1350</v>
      </c>
    </row>
    <row r="150" spans="1:2">
      <c r="A150" t="s">
        <v>1351</v>
      </c>
      <c r="B150" t="s">
        <v>1352</v>
      </c>
    </row>
    <row r="151" spans="1:2">
      <c r="A151" t="s">
        <v>1353</v>
      </c>
      <c r="B151" t="s">
        <v>1354</v>
      </c>
    </row>
    <row r="152" spans="1:2">
      <c r="A152" t="s">
        <v>1355</v>
      </c>
      <c r="B152" t="s">
        <v>1356</v>
      </c>
    </row>
    <row r="153" spans="1:2">
      <c r="A153" t="s">
        <v>1357</v>
      </c>
      <c r="B153" t="s">
        <v>1358</v>
      </c>
    </row>
    <row r="154" spans="1:2">
      <c r="A154" t="s">
        <v>1359</v>
      </c>
      <c r="B154" t="s">
        <v>1360</v>
      </c>
    </row>
    <row r="155" spans="1:2">
      <c r="A155" t="s">
        <v>1361</v>
      </c>
      <c r="B155" t="s">
        <v>1362</v>
      </c>
    </row>
    <row r="156" spans="1:2">
      <c r="A156" t="s">
        <v>1363</v>
      </c>
      <c r="B156" t="s">
        <v>1364</v>
      </c>
    </row>
    <row r="157" spans="1:2">
      <c r="A157" t="s">
        <v>1365</v>
      </c>
      <c r="B157" t="s">
        <v>1366</v>
      </c>
    </row>
    <row r="158" spans="1:2">
      <c r="A158" t="s">
        <v>1367</v>
      </c>
      <c r="B158" t="s">
        <v>1368</v>
      </c>
    </row>
    <row r="159" spans="1:2">
      <c r="A159" t="s">
        <v>1369</v>
      </c>
      <c r="B159" t="s">
        <v>1370</v>
      </c>
    </row>
    <row r="160" spans="1:2">
      <c r="A160" t="s">
        <v>1371</v>
      </c>
      <c r="B160" t="s">
        <v>1372</v>
      </c>
    </row>
    <row r="161" spans="1:2">
      <c r="A161" t="s">
        <v>1373</v>
      </c>
      <c r="B161" t="s">
        <v>1374</v>
      </c>
    </row>
    <row r="162" spans="1:2">
      <c r="A162" t="s">
        <v>1375</v>
      </c>
      <c r="B162" t="s">
        <v>1376</v>
      </c>
    </row>
    <row r="163" spans="1:2">
      <c r="A163" t="s">
        <v>1377</v>
      </c>
      <c r="B163" t="s">
        <v>1378</v>
      </c>
    </row>
    <row r="164" spans="1:2">
      <c r="A164" t="s">
        <v>1379</v>
      </c>
      <c r="B164" t="s">
        <v>1380</v>
      </c>
    </row>
    <row r="165" spans="1:2">
      <c r="A165" t="s">
        <v>1381</v>
      </c>
      <c r="B165" t="s">
        <v>1382</v>
      </c>
    </row>
    <row r="166" spans="1:2">
      <c r="A166" t="s">
        <v>1383</v>
      </c>
      <c r="B166" t="s">
        <v>1384</v>
      </c>
    </row>
    <row r="167" spans="1:2">
      <c r="A167" t="s">
        <v>1385</v>
      </c>
      <c r="B167" t="s">
        <v>1386</v>
      </c>
    </row>
    <row r="168" spans="1:2">
      <c r="A168" t="s">
        <v>1387</v>
      </c>
      <c r="B168" t="s">
        <v>1388</v>
      </c>
    </row>
    <row r="169" spans="1:2">
      <c r="A169" t="s">
        <v>1389</v>
      </c>
      <c r="B169" t="s">
        <v>1390</v>
      </c>
    </row>
    <row r="170" spans="1:2">
      <c r="A170" t="s">
        <v>1391</v>
      </c>
      <c r="B170" t="s">
        <v>1392</v>
      </c>
    </row>
    <row r="171" spans="1:2">
      <c r="A171" t="s">
        <v>1393</v>
      </c>
      <c r="B171" t="s">
        <v>1394</v>
      </c>
    </row>
    <row r="172" spans="1:2">
      <c r="A172" t="s">
        <v>1395</v>
      </c>
      <c r="B172" t="s">
        <v>1396</v>
      </c>
    </row>
    <row r="173" spans="1:2">
      <c r="A173" t="s">
        <v>1397</v>
      </c>
      <c r="B173" t="s">
        <v>1398</v>
      </c>
    </row>
    <row r="174" spans="1:2">
      <c r="A174" t="s">
        <v>1399</v>
      </c>
      <c r="B174" t="s">
        <v>1400</v>
      </c>
    </row>
    <row r="175" spans="1:2">
      <c r="A175" t="s">
        <v>1401</v>
      </c>
      <c r="B175" t="s">
        <v>1402</v>
      </c>
    </row>
    <row r="176" spans="1:2">
      <c r="A176" t="s">
        <v>1403</v>
      </c>
      <c r="B176" t="s">
        <v>1404</v>
      </c>
    </row>
    <row r="177" spans="1:2">
      <c r="A177" t="s">
        <v>1405</v>
      </c>
      <c r="B177" t="s">
        <v>1406</v>
      </c>
    </row>
    <row r="178" spans="1:2">
      <c r="A178" t="s">
        <v>1407</v>
      </c>
      <c r="B178" t="s">
        <v>1408</v>
      </c>
    </row>
    <row r="179" spans="1:2">
      <c r="A179" t="s">
        <v>1409</v>
      </c>
      <c r="B179" t="s">
        <v>1410</v>
      </c>
    </row>
  </sheetData>
  <hyperlinks>
    <hyperlink ref="C1" location="Indice!A1" display="Índice" xr:uid="{76AAE346-DD6D-4800-8499-C0A113C0EF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54"/>
  <sheetViews>
    <sheetView showGridLines="0" zoomScaleNormal="100" zoomScaleSheetLayoutView="70" workbookViewId="0">
      <selection activeCell="B10" sqref="B10"/>
    </sheetView>
  </sheetViews>
  <sheetFormatPr baseColWidth="10" defaultColWidth="11.42578125" defaultRowHeight="12"/>
  <cols>
    <col min="1" max="1" width="64.28515625" style="6" customWidth="1"/>
    <col min="2" max="2" width="5.42578125" style="40" customWidth="1"/>
    <col min="3" max="3" width="17" style="158" customWidth="1"/>
    <col min="4" max="4" width="18.140625" style="158" customWidth="1"/>
    <col min="5" max="5" width="0.28515625" style="6" hidden="1" customWidth="1"/>
    <col min="6" max="6" width="0.28515625" style="6" customWidth="1"/>
    <col min="7" max="7" width="1" style="6" hidden="1" customWidth="1"/>
    <col min="8" max="9" width="16.42578125" style="98" bestFit="1" customWidth="1"/>
    <col min="10" max="10" width="14.28515625" style="6" bestFit="1" customWidth="1"/>
    <col min="11" max="16384" width="11.42578125" style="6"/>
  </cols>
  <sheetData>
    <row r="1" spans="1:10" ht="17.25" customHeight="1">
      <c r="A1" s="217" t="str">
        <f>Indice!C1</f>
        <v>NICOLAS GONZALEZ ODDONE S.A.E.C.A</v>
      </c>
      <c r="B1" s="246" t="s">
        <v>110</v>
      </c>
    </row>
    <row r="2" spans="1:10">
      <c r="A2" s="111"/>
      <c r="B2" s="72"/>
    </row>
    <row r="3" spans="1:10" ht="12.75">
      <c r="A3" s="968" t="s">
        <v>185</v>
      </c>
      <c r="B3" s="968"/>
      <c r="C3" s="968"/>
      <c r="D3" s="968"/>
      <c r="E3" s="968"/>
      <c r="F3" s="968"/>
      <c r="G3" s="968"/>
    </row>
    <row r="4" spans="1:10" ht="15">
      <c r="A4" s="969" t="s">
        <v>186</v>
      </c>
      <c r="B4" s="969"/>
      <c r="C4" s="969"/>
      <c r="D4" s="969"/>
      <c r="E4" s="969"/>
      <c r="F4" s="969"/>
      <c r="G4" s="969"/>
    </row>
    <row r="5" spans="1:10">
      <c r="A5" s="971" t="s">
        <v>155</v>
      </c>
      <c r="B5" s="971"/>
      <c r="C5" s="971"/>
      <c r="D5" s="971"/>
      <c r="E5" s="971"/>
      <c r="F5" s="971"/>
      <c r="G5" s="971"/>
    </row>
    <row r="6" spans="1:10">
      <c r="A6" s="84"/>
      <c r="B6" s="85"/>
      <c r="C6" s="159"/>
    </row>
    <row r="7" spans="1:10" ht="14.25">
      <c r="A7" s="245"/>
      <c r="B7" s="575" t="s">
        <v>112</v>
      </c>
      <c r="C7" s="574">
        <v>44834</v>
      </c>
      <c r="D7" s="574">
        <v>44469</v>
      </c>
    </row>
    <row r="8" spans="1:10">
      <c r="A8" s="6" t="s">
        <v>187</v>
      </c>
      <c r="B8" s="247">
        <v>25</v>
      </c>
      <c r="C8" s="198">
        <f>'Nota 25'!B11</f>
        <v>555938534593</v>
      </c>
      <c r="D8" s="198">
        <f>'Nota 25'!C11</f>
        <v>527426518403</v>
      </c>
    </row>
    <row r="9" spans="1:10">
      <c r="A9" s="6" t="s">
        <v>188</v>
      </c>
      <c r="B9" s="247">
        <v>25</v>
      </c>
      <c r="C9" s="198">
        <f>'Nota 25'!B18</f>
        <v>10807846019</v>
      </c>
      <c r="D9" s="198">
        <f>'Nota 25'!C18</f>
        <v>17209062176</v>
      </c>
    </row>
    <row r="10" spans="1:10">
      <c r="A10" s="6" t="s">
        <v>72</v>
      </c>
      <c r="B10" s="247">
        <v>26</v>
      </c>
      <c r="C10" s="198">
        <f>-'Nota 26'!B18</f>
        <v>-417889903531</v>
      </c>
      <c r="D10" s="198">
        <f>-'Nota 26'!C18</f>
        <v>-399906650081</v>
      </c>
      <c r="F10" s="111"/>
      <c r="J10" s="98"/>
    </row>
    <row r="11" spans="1:10">
      <c r="A11" s="82" t="s">
        <v>189</v>
      </c>
      <c r="B11" s="248"/>
      <c r="C11" s="199">
        <f>SUM(C8:C10)</f>
        <v>148856477081</v>
      </c>
      <c r="D11" s="199">
        <f>SUM(D8:D10)</f>
        <v>144728930498</v>
      </c>
    </row>
    <row r="12" spans="1:10">
      <c r="A12" s="82"/>
      <c r="B12" s="248"/>
      <c r="C12" s="199"/>
      <c r="D12" s="199"/>
      <c r="J12" s="98"/>
    </row>
    <row r="13" spans="1:10">
      <c r="A13" s="6" t="s">
        <v>74</v>
      </c>
      <c r="B13" s="247">
        <v>27</v>
      </c>
      <c r="C13" s="198">
        <f>-'Nota 27'!B32</f>
        <v>-74593656123</v>
      </c>
      <c r="D13" s="198">
        <f>-'Nota 27'!E32</f>
        <v>-60084028855</v>
      </c>
      <c r="J13" s="98"/>
    </row>
    <row r="14" spans="1:10">
      <c r="A14" s="6" t="s">
        <v>190</v>
      </c>
      <c r="B14" s="247">
        <v>27</v>
      </c>
      <c r="C14" s="198">
        <f>+-'Nota 27'!C32</f>
        <v>-32086553951</v>
      </c>
      <c r="D14" s="198">
        <f>-'Nota 27'!F32</f>
        <v>-24822164186</v>
      </c>
      <c r="J14" s="98"/>
    </row>
    <row r="15" spans="1:10">
      <c r="A15" s="6" t="s">
        <v>191</v>
      </c>
      <c r="B15" s="247">
        <v>28</v>
      </c>
      <c r="C15" s="200">
        <f>'Nota 28'!B42</f>
        <v>16354509069</v>
      </c>
      <c r="D15" s="200">
        <f>'Nota 28'!C42</f>
        <v>25937323162</v>
      </c>
    </row>
    <row r="16" spans="1:10">
      <c r="A16" s="6" t="s">
        <v>192</v>
      </c>
      <c r="B16" s="247">
        <v>28</v>
      </c>
      <c r="C16" s="200">
        <f>'Nota 28'!F17</f>
        <v>-9972356741</v>
      </c>
      <c r="D16" s="200">
        <f>'Nota 28'!G17</f>
        <v>-9454058649</v>
      </c>
    </row>
    <row r="17" spans="1:10">
      <c r="A17" s="82" t="s">
        <v>193</v>
      </c>
      <c r="B17" s="248"/>
      <c r="C17" s="199">
        <f>SUM(C13:C16)</f>
        <v>-100298057746</v>
      </c>
      <c r="D17" s="199">
        <f>SUM(D13:D16)</f>
        <v>-68422928528</v>
      </c>
    </row>
    <row r="18" spans="1:10">
      <c r="A18" s="82"/>
      <c r="B18" s="248"/>
      <c r="C18" s="199"/>
      <c r="D18" s="199"/>
    </row>
    <row r="19" spans="1:10">
      <c r="A19" s="6" t="s">
        <v>194</v>
      </c>
      <c r="B19" s="247">
        <v>29</v>
      </c>
      <c r="C19" s="200">
        <f>'Nota 29'!B13</f>
        <v>26166606446</v>
      </c>
      <c r="D19" s="200">
        <f>'Nota 29'!C13</f>
        <v>46566407515</v>
      </c>
      <c r="F19" s="111"/>
    </row>
    <row r="20" spans="1:10">
      <c r="A20" s="6" t="s">
        <v>195</v>
      </c>
      <c r="B20" s="247">
        <v>29</v>
      </c>
      <c r="C20" s="200">
        <f>'Nota 29'!F13</f>
        <v>-26454127989</v>
      </c>
      <c r="D20" s="200">
        <f>'Nota 29'!G13</f>
        <v>-41563291195</v>
      </c>
    </row>
    <row r="21" spans="1:10">
      <c r="A21" s="111" t="s">
        <v>148</v>
      </c>
      <c r="B21" s="247"/>
      <c r="C21" s="199">
        <f>SUM(C19:C20)</f>
        <v>-287521543</v>
      </c>
      <c r="D21" s="199">
        <f>SUM(D19:D20)</f>
        <v>5003116320</v>
      </c>
      <c r="J21" s="98"/>
    </row>
    <row r="22" spans="1:10">
      <c r="A22" s="111"/>
      <c r="B22" s="247"/>
      <c r="C22" s="199"/>
      <c r="D22" s="199"/>
      <c r="J22" s="98"/>
    </row>
    <row r="23" spans="1:10" hidden="1">
      <c r="A23" s="6" t="s">
        <v>82</v>
      </c>
      <c r="B23" s="247">
        <v>30</v>
      </c>
      <c r="C23" s="200">
        <f>+'Nota 30'!B10</f>
        <v>0</v>
      </c>
      <c r="D23" s="200">
        <f>+'Nota 30'!C10</f>
        <v>0</v>
      </c>
    </row>
    <row r="24" spans="1:10">
      <c r="A24" s="6" t="s">
        <v>196</v>
      </c>
      <c r="B24" s="247" t="s">
        <v>197</v>
      </c>
      <c r="C24" s="200">
        <f>+'Nota 28'!B70</f>
        <v>3103345453</v>
      </c>
      <c r="D24" s="200">
        <f>'Nota 28'!C70</f>
        <v>1573927257</v>
      </c>
      <c r="J24" s="98"/>
    </row>
    <row r="25" spans="1:10">
      <c r="A25" s="6" t="s">
        <v>198</v>
      </c>
      <c r="B25" s="247">
        <v>29.1</v>
      </c>
      <c r="C25" s="200">
        <f>'Nota 29'!B27</f>
        <v>3567332391</v>
      </c>
      <c r="D25" s="200">
        <f>'Nota 29'!C27</f>
        <v>12441191461</v>
      </c>
      <c r="J25" s="98"/>
    </row>
    <row r="26" spans="1:10">
      <c r="A26" s="6" t="s">
        <v>199</v>
      </c>
      <c r="B26" s="247">
        <v>29.1</v>
      </c>
      <c r="C26" s="200">
        <f>'Nota 29'!F26</f>
        <v>-2370419159</v>
      </c>
      <c r="D26" s="200">
        <f>'Nota 29'!G26</f>
        <v>-13392454084</v>
      </c>
      <c r="J26" s="98"/>
    </row>
    <row r="27" spans="1:10">
      <c r="A27" s="111" t="s">
        <v>148</v>
      </c>
      <c r="B27" s="247"/>
      <c r="C27" s="199">
        <f>SUM(C23:C26)</f>
        <v>4300258685</v>
      </c>
      <c r="D27" s="199">
        <f>SUM(D23:D26)</f>
        <v>622664634</v>
      </c>
      <c r="J27" s="98"/>
    </row>
    <row r="28" spans="1:10">
      <c r="B28" s="249"/>
      <c r="C28" s="200"/>
      <c r="D28" s="200"/>
      <c r="J28" s="98"/>
    </row>
    <row r="29" spans="1:10">
      <c r="A29" s="160" t="s">
        <v>200</v>
      </c>
      <c r="B29" s="247"/>
      <c r="C29" s="199">
        <f>+C11+C17+C21+C27</f>
        <v>52571156477</v>
      </c>
      <c r="D29" s="199">
        <f>+D11+D17+D21+D27</f>
        <v>81931782924</v>
      </c>
      <c r="J29" s="98"/>
    </row>
    <row r="30" spans="1:10">
      <c r="B30" s="247"/>
      <c r="C30" s="200"/>
      <c r="D30" s="200"/>
      <c r="J30" s="98"/>
    </row>
    <row r="31" spans="1:10">
      <c r="A31" s="160" t="s">
        <v>201</v>
      </c>
      <c r="B31" s="248"/>
      <c r="C31" s="199"/>
      <c r="D31" s="199"/>
    </row>
    <row r="32" spans="1:10">
      <c r="A32" s="6" t="s">
        <v>86</v>
      </c>
      <c r="B32" s="246">
        <v>32</v>
      </c>
      <c r="C32" s="200">
        <f>-'Nota 32'!B9</f>
        <v>-7054123076</v>
      </c>
      <c r="D32" s="200">
        <f>-'Nota 32'!C9</f>
        <v>-7816774311</v>
      </c>
    </row>
    <row r="33" spans="1:4">
      <c r="B33" s="246"/>
      <c r="C33" s="200"/>
      <c r="D33" s="200"/>
    </row>
    <row r="34" spans="1:4">
      <c r="A34" s="82" t="s">
        <v>202</v>
      </c>
      <c r="B34" s="248"/>
      <c r="C34" s="199">
        <f>+C29+C32</f>
        <v>45517033401</v>
      </c>
      <c r="D34" s="199">
        <f>+D29+D32</f>
        <v>74115008613</v>
      </c>
    </row>
    <row r="35" spans="1:4" hidden="1">
      <c r="A35" s="6" t="s">
        <v>88</v>
      </c>
      <c r="B35" s="247">
        <v>33</v>
      </c>
      <c r="C35" s="200">
        <v>0</v>
      </c>
      <c r="D35" s="200">
        <v>0</v>
      </c>
    </row>
    <row r="36" spans="1:4" hidden="1">
      <c r="A36" s="6" t="s">
        <v>90</v>
      </c>
      <c r="B36" s="247">
        <v>34</v>
      </c>
      <c r="C36" s="200">
        <f>'Nota 34'!B10</f>
        <v>0</v>
      </c>
      <c r="D36" s="200">
        <f>'Nota 34'!C10</f>
        <v>0</v>
      </c>
    </row>
    <row r="37" spans="1:4">
      <c r="B37" s="247"/>
      <c r="C37" s="200"/>
      <c r="D37" s="200">
        <v>0</v>
      </c>
    </row>
    <row r="38" spans="1:4">
      <c r="A38" s="111" t="s">
        <v>203</v>
      </c>
      <c r="B38" s="250"/>
      <c r="C38" s="199">
        <f>C34+C35+C36</f>
        <v>45517033401</v>
      </c>
      <c r="D38" s="199">
        <f>D34+D35+D36</f>
        <v>74115008613</v>
      </c>
    </row>
    <row r="39" spans="1:4">
      <c r="A39" s="111" t="s">
        <v>94</v>
      </c>
      <c r="B39" s="247">
        <v>35</v>
      </c>
      <c r="C39" s="497">
        <f>C38/'Nota 35'!B9</f>
        <v>5856.3687788109146</v>
      </c>
      <c r="D39" s="497">
        <f>D38/'Nota 35'!C9</f>
        <v>11673.537372483373</v>
      </c>
    </row>
    <row r="40" spans="1:4">
      <c r="C40" s="200"/>
      <c r="D40" s="113"/>
    </row>
    <row r="41" spans="1:4">
      <c r="A41" s="82"/>
      <c r="B41" s="76"/>
      <c r="C41" s="201"/>
      <c r="D41" s="201"/>
    </row>
    <row r="42" spans="1:4">
      <c r="A42" s="671" t="s">
        <v>151</v>
      </c>
    </row>
    <row r="48" spans="1:4">
      <c r="A48" s="161"/>
      <c r="B48" s="78"/>
      <c r="C48" s="970"/>
      <c r="D48" s="970"/>
    </row>
    <row r="49" spans="1:4">
      <c r="A49" s="83"/>
      <c r="B49" s="162"/>
      <c r="D49" s="163"/>
    </row>
    <row r="54" spans="1:4">
      <c r="A54" s="164"/>
      <c r="C54" s="970"/>
      <c r="D54" s="970"/>
    </row>
  </sheetData>
  <mergeCells count="5">
    <mergeCell ref="A3:G3"/>
    <mergeCell ref="A4:G4"/>
    <mergeCell ref="C54:D54"/>
    <mergeCell ref="C48:D48"/>
    <mergeCell ref="A5:G5"/>
  </mergeCells>
  <phoneticPr fontId="93" type="noConversion"/>
  <hyperlinks>
    <hyperlink ref="B8" location="'Nota 25'!A1" display="'Nota 25'!A1" xr:uid="{00000000-0004-0000-0400-000000000000}"/>
    <hyperlink ref="B10" location="'Nota 26'!A1" display="'Nota 26'!A1" xr:uid="{00000000-0004-0000-0400-000001000000}"/>
    <hyperlink ref="B13" location="'Nota 27'!A1" display="'Nota 27'!A1" xr:uid="{00000000-0004-0000-0400-000002000000}"/>
    <hyperlink ref="B14" location="'Nota 27'!A1" display="'Nota 27'!A1" xr:uid="{00000000-0004-0000-0400-000003000000}"/>
    <hyperlink ref="B15" location="'Nota 28'!A1" display="'Nota 28'!A1" xr:uid="{00000000-0004-0000-0400-000004000000}"/>
    <hyperlink ref="B20" location="'Nota 29'!A1" display="'Nota 29'!A1" xr:uid="{00000000-0004-0000-0400-000005000000}"/>
    <hyperlink ref="B19" location="'Nota 29'!A1" display="'Nota 29'!A1" xr:uid="{00000000-0004-0000-0400-000006000000}"/>
    <hyperlink ref="B32" location="'Nota 32'!A1" display="'Nota 32'!A1" xr:uid="{00000000-0004-0000-0400-000007000000}"/>
    <hyperlink ref="B35" location="'Nota 33'!A1" display="'Nota 33'!A1" xr:uid="{00000000-0004-0000-0400-000008000000}"/>
    <hyperlink ref="B36" location="'Nota 34'!A1" display="'Nota 34'!A1" xr:uid="{00000000-0004-0000-0400-000009000000}"/>
    <hyperlink ref="B39" location="'Nota 35'!A1" display="'Nota 35'!A1" xr:uid="{00000000-0004-0000-0400-00000A000000}"/>
    <hyperlink ref="B1" location="Indice!A1" display="Indice" xr:uid="{00000000-0004-0000-0400-00000B000000}"/>
    <hyperlink ref="B9" location="'Nota 25'!A1" display="'Nota 25'!A1" xr:uid="{00000000-0004-0000-0400-00000C000000}"/>
    <hyperlink ref="B16" location="'Nota 28'!A1" display="'Nota 28'!A1" xr:uid="{00000000-0004-0000-0400-00000D000000}"/>
    <hyperlink ref="B24" location="'Nota 28'!A1" display="'Nota 28'!A1" xr:uid="{00000000-0004-0000-0400-00000E000000}"/>
    <hyperlink ref="B25" location="'Nota 29'!A1" display="'Nota 29'!A1" xr:uid="{00000000-0004-0000-0400-00000F000000}"/>
    <hyperlink ref="B26" location="'Nota 29'!A1" display="'Nota 29'!A1" xr:uid="{00000000-0004-0000-0400-000010000000}"/>
    <hyperlink ref="B23" location="'Nota 30'!A1" display="'Nota 30'!A1" xr:uid="{00000000-0004-0000-0400-000011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5"/>
  <sheetViews>
    <sheetView showGridLines="0" zoomScale="110" zoomScaleNormal="110" workbookViewId="0">
      <selection activeCell="A48" sqref="A48"/>
    </sheetView>
  </sheetViews>
  <sheetFormatPr baseColWidth="10" defaultColWidth="10.85546875" defaultRowHeight="12"/>
  <cols>
    <col min="1" max="1" width="54.5703125" style="6" customWidth="1"/>
    <col min="2" max="2" width="15.42578125" style="213" customWidth="1"/>
    <col min="3" max="3" width="15.5703125" style="213" customWidth="1"/>
    <col min="4" max="4" width="0.140625" style="6" customWidth="1"/>
    <col min="5" max="5" width="18.5703125" style="6" customWidth="1"/>
    <col min="6" max="6" width="2.28515625" style="6" customWidth="1"/>
    <col min="7" max="7" width="4.42578125" style="6" customWidth="1"/>
    <col min="8" max="8" width="21.42578125" style="6" customWidth="1"/>
    <col min="9" max="9" width="16.42578125" style="213" bestFit="1" customWidth="1"/>
    <col min="10" max="16384" width="10.85546875" style="6"/>
  </cols>
  <sheetData>
    <row r="1" spans="1:9" ht="15" customHeight="1">
      <c r="A1" s="217" t="str">
        <f>Indice!C1</f>
        <v>NICOLAS GONZALEZ ODDONE S.A.E.C.A</v>
      </c>
      <c r="B1" s="266"/>
      <c r="C1" s="266"/>
    </row>
    <row r="2" spans="1:9" ht="12.75">
      <c r="A2" s="263"/>
      <c r="B2" s="265"/>
      <c r="C2" s="265"/>
      <c r="I2" s="6"/>
    </row>
    <row r="3" spans="1:9" ht="12.75" hidden="1">
      <c r="A3" s="972"/>
      <c r="B3" s="972"/>
      <c r="C3" s="972"/>
      <c r="I3" s="6"/>
    </row>
    <row r="4" spans="1:9" ht="12.75">
      <c r="A4" s="263"/>
      <c r="B4" s="265"/>
      <c r="C4" s="265"/>
      <c r="I4" s="6"/>
    </row>
    <row r="5" spans="1:9" ht="12.75">
      <c r="A5" s="968" t="s">
        <v>204</v>
      </c>
      <c r="B5" s="968"/>
      <c r="C5" s="968"/>
      <c r="I5" s="6"/>
    </row>
    <row r="6" spans="1:9" ht="15">
      <c r="A6" s="969" t="s">
        <v>205</v>
      </c>
      <c r="B6" s="969"/>
      <c r="C6" s="969"/>
      <c r="I6" s="6"/>
    </row>
    <row r="7" spans="1:9">
      <c r="A7" s="971" t="s">
        <v>154</v>
      </c>
      <c r="B7" s="971"/>
      <c r="C7" s="971"/>
      <c r="I7" s="6"/>
    </row>
    <row r="8" spans="1:9" ht="12.75">
      <c r="A8" s="973"/>
      <c r="B8" s="973"/>
      <c r="C8" s="973"/>
      <c r="I8" s="6"/>
    </row>
    <row r="9" spans="1:9" ht="12.75">
      <c r="A9" s="264"/>
      <c r="B9" s="264"/>
      <c r="C9" s="264"/>
      <c r="I9" s="6"/>
    </row>
    <row r="10" spans="1:9">
      <c r="A10" s="389"/>
      <c r="B10" s="390">
        <v>44834</v>
      </c>
      <c r="C10" s="390">
        <v>44469</v>
      </c>
      <c r="I10" s="6"/>
    </row>
    <row r="11" spans="1:9">
      <c r="A11" s="950" t="s">
        <v>113</v>
      </c>
      <c r="B11" s="950"/>
      <c r="C11" s="950"/>
      <c r="I11" s="6"/>
    </row>
    <row r="12" spans="1:9">
      <c r="A12" s="388"/>
      <c r="B12" s="388"/>
      <c r="C12" s="388"/>
      <c r="I12" s="6"/>
    </row>
    <row r="13" spans="1:9">
      <c r="A13" s="82" t="s">
        <v>206</v>
      </c>
    </row>
    <row r="14" spans="1:9">
      <c r="A14" s="6" t="s">
        <v>207</v>
      </c>
      <c r="B14" s="812">
        <v>565318470465</v>
      </c>
      <c r="C14" s="812">
        <v>567915299723</v>
      </c>
    </row>
    <row r="15" spans="1:9">
      <c r="A15" s="6" t="s">
        <v>208</v>
      </c>
      <c r="B15" s="812">
        <v>-534748135823</v>
      </c>
      <c r="C15" s="812">
        <v>-490456673941</v>
      </c>
      <c r="F15" s="214"/>
      <c r="H15" s="215"/>
    </row>
    <row r="16" spans="1:9" ht="12" customHeight="1">
      <c r="A16" s="6" t="s">
        <v>209</v>
      </c>
      <c r="B16" s="812">
        <v>-44831463403</v>
      </c>
      <c r="C16" s="812">
        <v>-35827839413</v>
      </c>
      <c r="F16" s="214"/>
      <c r="H16" s="215"/>
    </row>
    <row r="17" spans="1:9" ht="12" hidden="1" customHeight="1">
      <c r="A17" s="6" t="s">
        <v>210</v>
      </c>
      <c r="B17" s="812">
        <v>0</v>
      </c>
      <c r="C17" s="812">
        <v>0</v>
      </c>
      <c r="F17" s="214"/>
      <c r="H17" s="215"/>
    </row>
    <row r="18" spans="1:9">
      <c r="A18" s="6" t="s">
        <v>211</v>
      </c>
      <c r="B18" s="812">
        <v>-14150222394</v>
      </c>
      <c r="C18" s="812">
        <v>-10502312611</v>
      </c>
      <c r="F18" s="214"/>
    </row>
    <row r="19" spans="1:9">
      <c r="A19" s="6" t="s">
        <v>212</v>
      </c>
      <c r="B19" s="812">
        <v>-6318399544</v>
      </c>
      <c r="C19" s="812">
        <v>-11867544497</v>
      </c>
      <c r="F19" s="214"/>
    </row>
    <row r="20" spans="1:9">
      <c r="A20" s="217" t="s">
        <v>213</v>
      </c>
      <c r="B20" s="479">
        <f>SUM(B14:B19)</f>
        <v>-34729750699</v>
      </c>
      <c r="C20" s="479">
        <f>SUM(C14:C19)</f>
        <v>19260929261</v>
      </c>
    </row>
    <row r="21" spans="1:9">
      <c r="B21" s="485"/>
      <c r="C21" s="478"/>
    </row>
    <row r="22" spans="1:9">
      <c r="A22" s="82" t="s">
        <v>214</v>
      </c>
      <c r="B22" s="485"/>
      <c r="C22" s="478"/>
    </row>
    <row r="23" spans="1:9" ht="15.75" customHeight="1">
      <c r="A23" s="64" t="s">
        <v>215</v>
      </c>
      <c r="B23" s="812">
        <v>-18861835794</v>
      </c>
      <c r="C23" s="812">
        <v>-5930508595</v>
      </c>
    </row>
    <row r="24" spans="1:9">
      <c r="A24" s="64" t="s">
        <v>216</v>
      </c>
      <c r="B24" s="812">
        <v>2526803290</v>
      </c>
      <c r="C24" s="812">
        <v>1145719203</v>
      </c>
    </row>
    <row r="25" spans="1:9">
      <c r="A25" s="6" t="s">
        <v>217</v>
      </c>
      <c r="B25" s="812">
        <v>-230875824</v>
      </c>
      <c r="C25" s="812">
        <v>3649714200</v>
      </c>
      <c r="F25" s="214"/>
    </row>
    <row r="26" spans="1:9" s="387" customFormat="1">
      <c r="A26" s="387" t="s">
        <v>218</v>
      </c>
      <c r="B26" s="813">
        <v>0</v>
      </c>
      <c r="C26" s="813">
        <v>-2311000000</v>
      </c>
    </row>
    <row r="27" spans="1:9">
      <c r="A27" s="6" t="s">
        <v>219</v>
      </c>
      <c r="B27" s="812">
        <v>18440111316</v>
      </c>
      <c r="C27" s="812">
        <v>83025292552</v>
      </c>
      <c r="F27" s="214"/>
    </row>
    <row r="28" spans="1:9" hidden="1">
      <c r="A28" s="387" t="s">
        <v>218</v>
      </c>
      <c r="B28" s="483">
        <v>0</v>
      </c>
      <c r="C28" s="484">
        <v>0</v>
      </c>
    </row>
    <row r="29" spans="1:9" ht="13.5" hidden="1">
      <c r="A29" s="387"/>
      <c r="B29" s="486"/>
      <c r="C29" s="487"/>
    </row>
    <row r="30" spans="1:9">
      <c r="A30" s="217" t="s">
        <v>220</v>
      </c>
      <c r="B30" s="479">
        <f>SUM(B23:B29)</f>
        <v>1874202988</v>
      </c>
      <c r="C30" s="479">
        <f>SUM(C23:C29)</f>
        <v>79579217360</v>
      </c>
    </row>
    <row r="31" spans="1:9">
      <c r="B31" s="485"/>
      <c r="C31" s="478"/>
    </row>
    <row r="32" spans="1:9">
      <c r="A32" s="145"/>
      <c r="B32" s="488"/>
      <c r="C32" s="489"/>
      <c r="I32" s="73"/>
    </row>
    <row r="33" spans="1:5">
      <c r="A33" s="102" t="s">
        <v>221</v>
      </c>
      <c r="B33" s="490"/>
      <c r="C33" s="491"/>
    </row>
    <row r="34" spans="1:5">
      <c r="A34" s="90" t="s">
        <v>222</v>
      </c>
      <c r="B34" s="814">
        <v>32378178199</v>
      </c>
      <c r="C34" s="814">
        <v>-10547535620</v>
      </c>
    </row>
    <row r="35" spans="1:5" hidden="1">
      <c r="A35" s="90" t="s">
        <v>223</v>
      </c>
      <c r="B35" s="814">
        <v>0</v>
      </c>
      <c r="C35" s="814">
        <v>0</v>
      </c>
    </row>
    <row r="36" spans="1:5">
      <c r="A36" s="90" t="s">
        <v>172</v>
      </c>
      <c r="B36" s="814">
        <v>-37224299945</v>
      </c>
      <c r="C36" s="814">
        <v>-28223329637</v>
      </c>
    </row>
    <row r="37" spans="1:5">
      <c r="A37" s="90" t="s">
        <v>224</v>
      </c>
      <c r="B37" s="814">
        <v>-4069174968</v>
      </c>
      <c r="C37" s="814">
        <v>-2411375340</v>
      </c>
    </row>
    <row r="38" spans="1:5">
      <c r="A38" s="480" t="s">
        <v>225</v>
      </c>
      <c r="B38" s="481">
        <f>SUM(B34:B37)</f>
        <v>-8915296714</v>
      </c>
      <c r="C38" s="546">
        <f>SUM(C34:C37)</f>
        <v>-41182240597</v>
      </c>
    </row>
    <row r="39" spans="1:5">
      <c r="B39" s="485"/>
      <c r="C39" s="492"/>
      <c r="E39" s="215"/>
    </row>
    <row r="40" spans="1:5">
      <c r="A40" s="6" t="s">
        <v>226</v>
      </c>
      <c r="B40" s="815">
        <f>+B38+B30+B20</f>
        <v>-41770844425</v>
      </c>
      <c r="C40" s="816">
        <v>57657906024</v>
      </c>
    </row>
    <row r="41" spans="1:5">
      <c r="A41" s="6" t="s">
        <v>227</v>
      </c>
      <c r="B41" s="815">
        <v>897582769</v>
      </c>
      <c r="C41" s="815">
        <v>-2220939519</v>
      </c>
    </row>
    <row r="42" spans="1:5">
      <c r="A42" s="6" t="s">
        <v>228</v>
      </c>
      <c r="B42" s="815">
        <v>64126541537</v>
      </c>
      <c r="C42" s="815">
        <v>64916787922</v>
      </c>
    </row>
    <row r="43" spans="1:5">
      <c r="A43" s="482" t="s">
        <v>229</v>
      </c>
      <c r="B43" s="547">
        <f>SUM(B40:B42)</f>
        <v>23253279881</v>
      </c>
      <c r="C43" s="493">
        <f>SUM(C40:C42)</f>
        <v>120353754427</v>
      </c>
    </row>
    <row r="45" spans="1:5">
      <c r="A45" s="671" t="s">
        <v>151</v>
      </c>
    </row>
  </sheetData>
  <mergeCells count="6">
    <mergeCell ref="A11:C11"/>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P96"/>
  <sheetViews>
    <sheetView showGridLines="0" topLeftCell="B31" zoomScaleNormal="100" workbookViewId="0">
      <selection activeCell="B48" sqref="B48"/>
    </sheetView>
  </sheetViews>
  <sheetFormatPr baseColWidth="10" defaultColWidth="11.42578125" defaultRowHeight="12"/>
  <cols>
    <col min="1" max="1" width="2.42578125" style="6" hidden="1" customWidth="1"/>
    <col min="2" max="2" width="131.42578125" style="6" customWidth="1"/>
    <col min="3" max="3" width="0.28515625" style="6" customWidth="1"/>
    <col min="4" max="4" width="3.140625" style="6" hidden="1" customWidth="1"/>
    <col min="5" max="5" width="1.140625" style="6" hidden="1" customWidth="1"/>
    <col min="6" max="7" width="11.42578125" style="6" hidden="1" customWidth="1"/>
    <col min="8" max="16384" width="11.42578125" style="6"/>
  </cols>
  <sheetData>
    <row r="1" spans="1:16" ht="16.5" customHeight="1">
      <c r="B1" s="831" t="s">
        <v>230</v>
      </c>
      <c r="C1" s="832"/>
      <c r="D1" s="832"/>
      <c r="E1" s="832"/>
      <c r="F1" s="832"/>
      <c r="G1" s="832"/>
      <c r="H1" s="19"/>
      <c r="I1" s="19"/>
      <c r="J1" s="19"/>
      <c r="K1" s="974"/>
      <c r="L1" s="974"/>
      <c r="M1" s="974"/>
      <c r="N1" s="2"/>
      <c r="O1" s="2"/>
      <c r="P1" s="2"/>
    </row>
    <row r="2" spans="1:16" ht="24">
      <c r="A2" s="308"/>
      <c r="B2" s="357" t="s">
        <v>231</v>
      </c>
      <c r="C2" s="374"/>
      <c r="D2" s="374"/>
      <c r="E2" s="374"/>
      <c r="F2" s="374"/>
      <c r="G2" s="374"/>
      <c r="H2" s="19"/>
      <c r="I2" s="19"/>
      <c r="J2" s="19"/>
      <c r="K2" s="270"/>
      <c r="L2" s="270"/>
      <c r="M2" s="270"/>
      <c r="N2" s="2"/>
      <c r="O2" s="2"/>
      <c r="P2" s="2"/>
    </row>
    <row r="3" spans="1:16" ht="24">
      <c r="A3" s="308"/>
      <c r="B3" s="357" t="s">
        <v>232</v>
      </c>
      <c r="C3" s="374"/>
      <c r="D3" s="374"/>
      <c r="E3" s="374"/>
      <c r="F3" s="374"/>
      <c r="G3" s="374"/>
      <c r="H3" s="19"/>
      <c r="I3" s="19"/>
      <c r="J3" s="19"/>
      <c r="K3" s="270"/>
      <c r="L3" s="270"/>
      <c r="M3" s="270"/>
      <c r="N3" s="2"/>
      <c r="O3" s="2"/>
      <c r="P3" s="2"/>
    </row>
    <row r="4" spans="1:16" ht="12.75">
      <c r="A4" s="308"/>
      <c r="B4" s="375"/>
      <c r="C4" s="374"/>
      <c r="D4" s="374"/>
      <c r="E4" s="374"/>
      <c r="F4" s="374"/>
      <c r="G4" s="374"/>
      <c r="H4" s="19"/>
      <c r="I4" s="19"/>
      <c r="J4" s="19"/>
      <c r="K4" s="270"/>
      <c r="L4" s="270"/>
      <c r="M4" s="270"/>
      <c r="N4" s="2"/>
      <c r="O4" s="2"/>
      <c r="P4" s="2"/>
    </row>
    <row r="5" spans="1:16" ht="12.75">
      <c r="B5" s="127"/>
      <c r="C5" s="19"/>
      <c r="D5" s="19"/>
      <c r="E5" s="19"/>
      <c r="F5" s="19"/>
      <c r="G5" s="19"/>
      <c r="H5" s="19"/>
      <c r="I5" s="19"/>
      <c r="J5" s="19"/>
      <c r="K5" s="270"/>
      <c r="L5" s="270"/>
      <c r="M5" s="270"/>
      <c r="N5" s="2"/>
      <c r="O5" s="2"/>
      <c r="P5" s="2"/>
    </row>
    <row r="6" spans="1:16" ht="14.25" customHeight="1">
      <c r="B6" s="833" t="s">
        <v>233</v>
      </c>
      <c r="C6" s="19"/>
      <c r="D6" s="19"/>
      <c r="E6" s="19"/>
      <c r="F6" s="19"/>
      <c r="G6" s="19"/>
      <c r="H6" s="19"/>
      <c r="I6" s="19"/>
      <c r="J6" s="19"/>
      <c r="K6" s="270"/>
      <c r="L6" s="270"/>
      <c r="M6" s="270"/>
      <c r="N6" s="2"/>
      <c r="O6" s="2"/>
      <c r="P6" s="2"/>
    </row>
    <row r="7" spans="1:16" s="2" customFormat="1" ht="12.75">
      <c r="B7" s="17"/>
      <c r="C7" s="19"/>
      <c r="D7" s="19"/>
      <c r="E7" s="19"/>
      <c r="F7" s="19"/>
      <c r="G7" s="19"/>
      <c r="H7" s="19"/>
      <c r="I7" s="19"/>
      <c r="J7" s="19"/>
      <c r="K7" s="270"/>
      <c r="L7" s="270"/>
      <c r="M7" s="270"/>
    </row>
    <row r="8" spans="1:16">
      <c r="B8" s="376" t="s">
        <v>234</v>
      </c>
    </row>
    <row r="9" spans="1:16">
      <c r="B9" s="376"/>
    </row>
    <row r="10" spans="1:16" ht="48">
      <c r="B10" s="704" t="s">
        <v>235</v>
      </c>
    </row>
    <row r="11" spans="1:16">
      <c r="B11" s="372" t="s">
        <v>236</v>
      </c>
    </row>
    <row r="12" spans="1:16" ht="24">
      <c r="B12" s="382" t="s">
        <v>237</v>
      </c>
    </row>
    <row r="13" spans="1:16" ht="24">
      <c r="B13" s="382" t="s">
        <v>238</v>
      </c>
    </row>
    <row r="14" spans="1:16" ht="36">
      <c r="B14" s="382" t="s">
        <v>239</v>
      </c>
    </row>
    <row r="15" spans="1:16" ht="36">
      <c r="B15" s="382" t="s">
        <v>240</v>
      </c>
    </row>
    <row r="16" spans="1:16" ht="24">
      <c r="B16" s="382" t="s">
        <v>241</v>
      </c>
    </row>
    <row r="17" spans="2:2" ht="84">
      <c r="B17" s="725" t="s">
        <v>242</v>
      </c>
    </row>
    <row r="18" spans="2:2" ht="48">
      <c r="B18" s="725" t="s">
        <v>243</v>
      </c>
    </row>
    <row r="19" spans="2:2" ht="36" customHeight="1">
      <c r="B19" s="725" t="s">
        <v>244</v>
      </c>
    </row>
    <row r="20" spans="2:2" ht="60">
      <c r="B20" s="725" t="s">
        <v>245</v>
      </c>
    </row>
    <row r="21" spans="2:2" ht="48">
      <c r="B21" s="725" t="s">
        <v>246</v>
      </c>
    </row>
    <row r="22" spans="2:2" ht="60">
      <c r="B22" s="725" t="s">
        <v>247</v>
      </c>
    </row>
    <row r="23" spans="2:2" ht="60">
      <c r="B23" s="725" t="s">
        <v>248</v>
      </c>
    </row>
    <row r="24" spans="2:2" ht="60">
      <c r="B24" s="725" t="s">
        <v>249</v>
      </c>
    </row>
    <row r="25" spans="2:2" ht="48">
      <c r="B25" s="725" t="s">
        <v>250</v>
      </c>
    </row>
    <row r="26" spans="2:2" ht="48">
      <c r="B26" s="725" t="s">
        <v>251</v>
      </c>
    </row>
    <row r="27" spans="2:2" ht="48">
      <c r="B27" s="725" t="s">
        <v>252</v>
      </c>
    </row>
    <row r="28" spans="2:2" ht="36">
      <c r="B28" s="725" t="s">
        <v>253</v>
      </c>
    </row>
    <row r="29" spans="2:2" ht="36">
      <c r="B29" s="725" t="s">
        <v>1434</v>
      </c>
    </row>
    <row r="30" spans="2:2" ht="14.25" customHeight="1">
      <c r="B30" s="101"/>
    </row>
    <row r="31" spans="2:2" ht="14.25" customHeight="1">
      <c r="B31" s="204" t="s">
        <v>254</v>
      </c>
    </row>
    <row r="32" spans="2:2">
      <c r="B32" s="204"/>
    </row>
    <row r="33" spans="2:2" ht="19.5" customHeight="1">
      <c r="B33" s="101" t="s">
        <v>255</v>
      </c>
    </row>
    <row r="34" spans="2:2">
      <c r="B34" s="101"/>
    </row>
    <row r="35" spans="2:2">
      <c r="B35" s="101" t="s">
        <v>256</v>
      </c>
    </row>
    <row r="36" spans="2:2">
      <c r="B36" s="101"/>
    </row>
    <row r="37" spans="2:2">
      <c r="B37" s="101" t="s">
        <v>257</v>
      </c>
    </row>
    <row r="38" spans="2:2">
      <c r="B38" s="101"/>
    </row>
    <row r="39" spans="2:2">
      <c r="B39" s="101" t="s">
        <v>258</v>
      </c>
    </row>
    <row r="40" spans="2:2">
      <c r="B40" s="101"/>
    </row>
    <row r="41" spans="2:2">
      <c r="B41" s="101" t="s">
        <v>259</v>
      </c>
    </row>
    <row r="42" spans="2:2">
      <c r="B42" s="101"/>
    </row>
    <row r="43" spans="2:2">
      <c r="B43" s="101" t="s">
        <v>260</v>
      </c>
    </row>
    <row r="44" spans="2:2">
      <c r="B44" s="101"/>
    </row>
    <row r="45" spans="2:2" ht="24">
      <c r="B45" s="101" t="s">
        <v>261</v>
      </c>
    </row>
    <row r="46" spans="2:2">
      <c r="B46" s="101"/>
    </row>
    <row r="48" spans="2:2">
      <c r="B48" s="101" t="s">
        <v>262</v>
      </c>
    </row>
    <row r="49" spans="2:2">
      <c r="B49" s="207" t="s">
        <v>263</v>
      </c>
    </row>
    <row r="50" spans="2:2" ht="14.25" customHeight="1">
      <c r="B50" s="101"/>
    </row>
    <row r="51" spans="2:2" ht="24">
      <c r="B51" s="101" t="s">
        <v>264</v>
      </c>
    </row>
    <row r="52" spans="2:2">
      <c r="B52" s="101"/>
    </row>
    <row r="53" spans="2:2" ht="14.25">
      <c r="B53" s="796" t="s">
        <v>265</v>
      </c>
    </row>
    <row r="54" spans="2:2" ht="14.25">
      <c r="B54" s="797"/>
    </row>
    <row r="55" spans="2:2" ht="15" thickBot="1">
      <c r="B55" s="797" t="s">
        <v>266</v>
      </c>
    </row>
    <row r="56" spans="2:2" ht="12.75">
      <c r="B56" s="798" t="s">
        <v>267</v>
      </c>
    </row>
    <row r="57" spans="2:2" ht="15" thickBot="1">
      <c r="B57" s="799" t="s">
        <v>268</v>
      </c>
    </row>
    <row r="58" spans="2:2">
      <c r="B58" s="800" t="s">
        <v>269</v>
      </c>
    </row>
    <row r="59" spans="2:2">
      <c r="B59" s="801" t="s">
        <v>270</v>
      </c>
    </row>
    <row r="60" spans="2:2">
      <c r="B60" s="801" t="s">
        <v>271</v>
      </c>
    </row>
    <row r="61" spans="2:2">
      <c r="B61" s="802" t="s">
        <v>272</v>
      </c>
    </row>
    <row r="62" spans="2:2">
      <c r="B62" s="801" t="s">
        <v>273</v>
      </c>
    </row>
    <row r="63" spans="2:2">
      <c r="B63" s="803" t="s">
        <v>274</v>
      </c>
    </row>
    <row r="64" spans="2:2">
      <c r="B64" s="804" t="s">
        <v>275</v>
      </c>
    </row>
    <row r="65" spans="2:2">
      <c r="B65" s="805" t="s">
        <v>276</v>
      </c>
    </row>
    <row r="66" spans="2:2">
      <c r="B66" s="805" t="s">
        <v>277</v>
      </c>
    </row>
    <row r="67" spans="2:2">
      <c r="B67" s="805"/>
    </row>
    <row r="68" spans="2:2" ht="13.5" thickBot="1">
      <c r="B68" s="806"/>
    </row>
    <row r="69" spans="2:2">
      <c r="B69" s="101"/>
    </row>
    <row r="70" spans="2:2">
      <c r="B70" s="101"/>
    </row>
    <row r="71" spans="2:2">
      <c r="B71" s="204"/>
    </row>
    <row r="72" spans="2:2">
      <c r="B72" s="204"/>
    </row>
    <row r="73" spans="2:2">
      <c r="B73" s="101"/>
    </row>
    <row r="74" spans="2:2">
      <c r="B74" s="101"/>
    </row>
    <row r="76" spans="2:2">
      <c r="B76" s="101"/>
    </row>
    <row r="77" spans="2:2">
      <c r="B77" s="101"/>
    </row>
    <row r="78" spans="2:2">
      <c r="B78" s="101"/>
    </row>
    <row r="79" spans="2:2">
      <c r="B79" s="101"/>
    </row>
    <row r="80" spans="2:2">
      <c r="B80" s="204"/>
    </row>
    <row r="81" spans="2:2">
      <c r="B81" s="101"/>
    </row>
    <row r="82" spans="2:2">
      <c r="B82" s="101"/>
    </row>
    <row r="83" spans="2:2">
      <c r="B83" s="101"/>
    </row>
    <row r="84" spans="2:2">
      <c r="B84" s="204"/>
    </row>
    <row r="85" spans="2:2">
      <c r="B85" s="101"/>
    </row>
    <row r="86" spans="2:2">
      <c r="B86" s="101"/>
    </row>
    <row r="87" spans="2:2">
      <c r="B87" s="101"/>
    </row>
    <row r="88" spans="2:2">
      <c r="B88" s="101"/>
    </row>
    <row r="89" spans="2:2">
      <c r="B89" s="101"/>
    </row>
    <row r="90" spans="2:2">
      <c r="B90" s="204"/>
    </row>
    <row r="91" spans="2:2">
      <c r="B91" s="204"/>
    </row>
    <row r="92" spans="2:2">
      <c r="B92" s="101"/>
    </row>
    <row r="93" spans="2:2">
      <c r="B93" s="204"/>
    </row>
    <row r="94" spans="2:2">
      <c r="B94" s="204"/>
    </row>
    <row r="95" spans="2:2">
      <c r="B95" s="101"/>
    </row>
    <row r="96" spans="2:2">
      <c r="B96" s="101"/>
    </row>
  </sheetData>
  <mergeCells count="1">
    <mergeCell ref="K1:M1"/>
  </mergeCell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99"/>
  <sheetViews>
    <sheetView showGridLines="0" topLeftCell="A75" zoomScaleNormal="100" workbookViewId="0">
      <selection activeCell="B45" sqref="B45"/>
    </sheetView>
  </sheetViews>
  <sheetFormatPr baseColWidth="10" defaultColWidth="11.42578125" defaultRowHeight="12.75"/>
  <cols>
    <col min="1" max="1" width="12.85546875" style="1" customWidth="1"/>
    <col min="2" max="2" width="20" style="1" customWidth="1"/>
    <col min="3" max="3" width="15.42578125" style="1" customWidth="1"/>
    <col min="4" max="4" width="22.85546875" style="1" customWidth="1"/>
    <col min="5" max="5" width="9.42578125" style="1" customWidth="1"/>
    <col min="6" max="6" width="20.7109375" style="1" customWidth="1"/>
    <col min="7" max="7" width="12.42578125" style="1" customWidth="1"/>
    <col min="8" max="8" width="23.28515625" style="1" customWidth="1"/>
    <col min="9" max="9" width="0.28515625" style="1" customWidth="1"/>
    <col min="10" max="10" width="1.42578125" style="1" customWidth="1"/>
    <col min="11" max="11" width="11.42578125" style="1" hidden="1" customWidth="1"/>
    <col min="12" max="12" width="14.28515625" style="63" bestFit="1" customWidth="1"/>
    <col min="13" max="13" width="14.28515625" style="1" bestFit="1" customWidth="1"/>
    <col min="14" max="16384" width="11.42578125" style="1"/>
  </cols>
  <sheetData>
    <row r="1" spans="1:14" ht="16.5" customHeight="1">
      <c r="A1" s="217" t="str">
        <f>Indice!C1</f>
        <v>NICOLAS GONZALEZ ODDONE S.A.E.C.A</v>
      </c>
      <c r="B1" s="218"/>
      <c r="D1" s="251" t="s">
        <v>110</v>
      </c>
      <c r="I1" s="15"/>
    </row>
    <row r="2" spans="1:14" ht="15" customHeight="1"/>
    <row r="3" spans="1:14" ht="15" customHeight="1">
      <c r="A3" s="955" t="s">
        <v>278</v>
      </c>
      <c r="B3" s="955"/>
      <c r="C3" s="955"/>
      <c r="D3" s="955"/>
      <c r="E3" s="955"/>
      <c r="F3" s="955"/>
      <c r="G3" s="955"/>
      <c r="H3" s="955"/>
      <c r="I3" s="955"/>
    </row>
    <row r="4" spans="1:14" ht="15" customHeight="1"/>
    <row r="5" spans="1:14" ht="15" customHeight="1">
      <c r="A5" s="981" t="s">
        <v>279</v>
      </c>
      <c r="B5" s="981"/>
      <c r="C5" s="981"/>
      <c r="D5" s="981"/>
      <c r="E5" s="981"/>
      <c r="F5" s="981"/>
      <c r="G5" s="981"/>
      <c r="H5" s="981"/>
      <c r="I5" s="981"/>
      <c r="J5" s="102"/>
      <c r="K5" s="102"/>
      <c r="L5" s="98"/>
      <c r="M5" s="6"/>
      <c r="N5" s="6"/>
    </row>
    <row r="6" spans="1:14" s="6" customFormat="1" ht="60.75" customHeight="1">
      <c r="A6" s="977" t="s">
        <v>280</v>
      </c>
      <c r="B6" s="977"/>
      <c r="C6" s="977"/>
      <c r="D6" s="977"/>
      <c r="E6" s="977"/>
      <c r="F6" s="977"/>
      <c r="G6" s="977"/>
      <c r="H6" s="977"/>
      <c r="I6" s="977"/>
      <c r="L6" s="98"/>
    </row>
    <row r="7" spans="1:14" ht="15" customHeight="1">
      <c r="A7" s="976" t="s">
        <v>281</v>
      </c>
      <c r="B7" s="976"/>
      <c r="C7" s="976"/>
      <c r="D7" s="976"/>
      <c r="E7" s="976"/>
      <c r="F7" s="976"/>
      <c r="G7" s="976"/>
      <c r="H7" s="976"/>
      <c r="I7" s="976"/>
      <c r="J7" s="102"/>
      <c r="K7" s="102"/>
      <c r="L7" s="98"/>
      <c r="M7" s="6"/>
      <c r="N7" s="6"/>
    </row>
    <row r="8" spans="1:14" ht="50.25" customHeight="1">
      <c r="A8" s="984" t="s">
        <v>282</v>
      </c>
      <c r="B8" s="984"/>
      <c r="C8" s="984"/>
      <c r="D8" s="984"/>
      <c r="E8" s="984"/>
      <c r="F8" s="984"/>
      <c r="G8" s="984"/>
      <c r="H8" s="984"/>
      <c r="I8" s="984"/>
      <c r="J8" s="6"/>
      <c r="K8" s="6"/>
      <c r="L8" s="98"/>
      <c r="M8" s="6"/>
      <c r="N8" s="6"/>
    </row>
    <row r="9" spans="1:14" ht="15" customHeight="1">
      <c r="A9" s="975"/>
      <c r="B9" s="975"/>
      <c r="C9" s="975"/>
      <c r="D9" s="975"/>
      <c r="E9" s="975"/>
      <c r="F9" s="975"/>
      <c r="G9" s="975"/>
      <c r="H9" s="975"/>
      <c r="I9" s="975"/>
      <c r="J9" s="6"/>
      <c r="K9" s="6"/>
      <c r="L9" s="98"/>
      <c r="M9" s="6"/>
      <c r="N9" s="6"/>
    </row>
    <row r="10" spans="1:14" ht="15" customHeight="1">
      <c r="A10" s="976" t="s">
        <v>283</v>
      </c>
      <c r="B10" s="976"/>
      <c r="C10" s="976"/>
      <c r="D10" s="976"/>
      <c r="E10" s="976"/>
      <c r="F10" s="976"/>
      <c r="G10" s="976"/>
      <c r="H10" s="976"/>
      <c r="I10" s="976"/>
      <c r="J10" s="102"/>
      <c r="K10" s="102"/>
      <c r="L10" s="98"/>
      <c r="M10" s="6"/>
      <c r="N10" s="6"/>
    </row>
    <row r="11" spans="1:14" ht="15" customHeight="1">
      <c r="A11" s="982" t="s">
        <v>284</v>
      </c>
      <c r="B11" s="982"/>
      <c r="C11" s="982"/>
      <c r="D11" s="982"/>
      <c r="E11" s="982"/>
      <c r="F11" s="982"/>
      <c r="G11" s="982"/>
      <c r="H11" s="982"/>
      <c r="I11" s="982"/>
      <c r="J11" s="6"/>
      <c r="K11" s="6"/>
      <c r="L11" s="98"/>
      <c r="M11" s="6"/>
      <c r="N11" s="6"/>
    </row>
    <row r="12" spans="1:14" ht="28.5" customHeight="1">
      <c r="A12" s="982" t="s">
        <v>285</v>
      </c>
      <c r="B12" s="982"/>
      <c r="C12" s="982"/>
      <c r="D12" s="982"/>
      <c r="E12" s="982"/>
      <c r="F12" s="982"/>
      <c r="G12" s="982"/>
      <c r="H12" s="982"/>
      <c r="I12" s="982"/>
      <c r="J12" s="6"/>
      <c r="K12" s="6"/>
      <c r="L12" s="98"/>
      <c r="M12" s="6"/>
      <c r="N12" s="6"/>
    </row>
    <row r="13" spans="1:14" ht="15" customHeight="1">
      <c r="A13" s="834"/>
      <c r="B13" s="377"/>
      <c r="C13" s="576">
        <v>44834</v>
      </c>
      <c r="D13" s="377"/>
      <c r="E13" s="834"/>
      <c r="F13" s="377"/>
      <c r="G13" s="577">
        <v>44561</v>
      </c>
      <c r="H13" s="378"/>
      <c r="I13" s="834"/>
      <c r="J13" s="834"/>
      <c r="K13" s="834"/>
      <c r="L13" s="98"/>
      <c r="M13" s="6"/>
      <c r="N13" s="6"/>
    </row>
    <row r="14" spans="1:14" ht="15" customHeight="1">
      <c r="A14" s="94"/>
      <c r="B14" s="514" t="s">
        <v>286</v>
      </c>
      <c r="C14" s="503" t="s">
        <v>287</v>
      </c>
      <c r="D14" s="530" t="s">
        <v>288</v>
      </c>
      <c r="E14" s="6"/>
      <c r="F14" s="514" t="s">
        <v>286</v>
      </c>
      <c r="G14" s="503" t="s">
        <v>289</v>
      </c>
      <c r="H14" s="530" t="s">
        <v>290</v>
      </c>
      <c r="I14" s="6"/>
      <c r="J14" s="6"/>
      <c r="K14" s="6"/>
      <c r="L14" s="98"/>
      <c r="M14" s="6"/>
      <c r="N14" s="6"/>
    </row>
    <row r="15" spans="1:14" ht="15" hidden="1" customHeight="1">
      <c r="A15" s="196" t="s">
        <v>291</v>
      </c>
      <c r="B15" s="94" t="s">
        <v>292</v>
      </c>
      <c r="C15" s="379" t="s">
        <v>293</v>
      </c>
      <c r="D15" s="95">
        <v>0</v>
      </c>
      <c r="E15" s="94"/>
      <c r="F15" s="94" t="s">
        <v>292</v>
      </c>
      <c r="G15" s="379" t="s">
        <v>293</v>
      </c>
      <c r="H15" s="113">
        <v>0</v>
      </c>
      <c r="I15" s="834"/>
      <c r="J15" s="834"/>
      <c r="K15" s="380"/>
      <c r="L15" s="98"/>
      <c r="M15" s="6"/>
      <c r="N15" s="6"/>
    </row>
    <row r="16" spans="1:14" ht="15" customHeight="1">
      <c r="A16" s="196" t="s">
        <v>291</v>
      </c>
      <c r="B16" s="94" t="s">
        <v>294</v>
      </c>
      <c r="C16" s="244" t="s">
        <v>295</v>
      </c>
      <c r="D16" s="98">
        <v>327666991022.37</v>
      </c>
      <c r="E16" s="94"/>
      <c r="F16" s="94" t="s">
        <v>294</v>
      </c>
      <c r="G16" s="244" t="s">
        <v>295</v>
      </c>
      <c r="H16" s="113">
        <v>250815404787</v>
      </c>
      <c r="I16" s="834"/>
      <c r="J16" s="834"/>
      <c r="K16" s="380"/>
      <c r="L16" s="98"/>
      <c r="M16" s="98"/>
      <c r="N16" s="6"/>
    </row>
    <row r="17" spans="1:14" ht="15" customHeight="1">
      <c r="A17" s="196" t="s">
        <v>296</v>
      </c>
      <c r="B17" s="94" t="s">
        <v>294</v>
      </c>
      <c r="C17" s="244" t="s">
        <v>295</v>
      </c>
      <c r="D17" s="98">
        <v>2234131190</v>
      </c>
      <c r="E17" s="94"/>
      <c r="F17" s="94" t="s">
        <v>294</v>
      </c>
      <c r="G17" s="244" t="s">
        <v>295</v>
      </c>
      <c r="H17" s="113">
        <v>2797573424</v>
      </c>
      <c r="I17" s="834"/>
      <c r="J17" s="834"/>
      <c r="K17" s="380"/>
      <c r="L17" s="98"/>
      <c r="M17" s="6"/>
      <c r="N17" s="6"/>
    </row>
    <row r="18" spans="1:14" ht="15" customHeight="1">
      <c r="A18" s="196" t="s">
        <v>297</v>
      </c>
      <c r="B18" s="94" t="s">
        <v>294</v>
      </c>
      <c r="C18" s="244" t="s">
        <v>295</v>
      </c>
      <c r="D18" s="98">
        <v>135288398014</v>
      </c>
      <c r="E18" s="94"/>
      <c r="F18" s="94" t="s">
        <v>294</v>
      </c>
      <c r="G18" s="244" t="s">
        <v>295</v>
      </c>
      <c r="H18" s="157">
        <v>252919787519</v>
      </c>
      <c r="I18" s="834"/>
      <c r="J18" s="834"/>
      <c r="K18" s="380"/>
      <c r="L18" s="98"/>
      <c r="M18" s="6"/>
      <c r="N18" s="6"/>
    </row>
    <row r="19" spans="1:14" ht="15" customHeight="1">
      <c r="A19" s="196" t="s">
        <v>298</v>
      </c>
      <c r="B19" s="94" t="s">
        <v>294</v>
      </c>
      <c r="C19" s="244" t="s">
        <v>295</v>
      </c>
      <c r="D19" s="98">
        <v>2134931789</v>
      </c>
      <c r="E19" s="834"/>
      <c r="F19" s="94" t="s">
        <v>294</v>
      </c>
      <c r="G19" s="244" t="s">
        <v>295</v>
      </c>
      <c r="H19" s="98">
        <v>1894758025</v>
      </c>
      <c r="I19" s="98">
        <v>4885020676</v>
      </c>
      <c r="J19" s="834"/>
      <c r="K19" s="380"/>
      <c r="L19" s="98"/>
      <c r="M19" s="6"/>
      <c r="N19" s="6"/>
    </row>
    <row r="20" spans="1:14" ht="15" customHeight="1">
      <c r="A20" s="835"/>
      <c r="B20" s="834"/>
      <c r="C20" s="834"/>
      <c r="D20" s="819"/>
      <c r="E20" s="834"/>
      <c r="F20" s="834"/>
      <c r="G20" s="834"/>
      <c r="H20" s="836"/>
      <c r="I20" s="834"/>
      <c r="J20" s="834"/>
      <c r="K20" s="380"/>
      <c r="L20" s="98"/>
      <c r="M20" s="6"/>
      <c r="N20" s="6"/>
    </row>
    <row r="21" spans="1:14" ht="15" customHeight="1">
      <c r="A21" s="835"/>
      <c r="B21" s="975" t="s">
        <v>299</v>
      </c>
      <c r="C21" s="975"/>
      <c r="D21" s="975"/>
      <c r="E21" s="975"/>
      <c r="F21" s="975"/>
      <c r="G21" s="975"/>
      <c r="H21" s="975"/>
      <c r="I21" s="975"/>
      <c r="J21" s="975"/>
      <c r="K21" s="380"/>
      <c r="L21" s="98"/>
      <c r="M21" s="6"/>
      <c r="N21" s="6"/>
    </row>
    <row r="22" spans="1:14" ht="15" customHeight="1">
      <c r="A22" s="835"/>
      <c r="B22" s="381"/>
      <c r="C22" s="381"/>
      <c r="D22" s="381"/>
      <c r="E22" s="381"/>
      <c r="F22" s="381"/>
      <c r="G22" s="381"/>
      <c r="H22" s="381"/>
      <c r="I22" s="381"/>
      <c r="J22" s="381"/>
      <c r="K22" s="380"/>
      <c r="L22" s="98"/>
      <c r="M22" s="6"/>
      <c r="N22" s="6"/>
    </row>
    <row r="23" spans="1:14" ht="15" customHeight="1">
      <c r="A23" s="834"/>
      <c r="B23" s="377"/>
      <c r="C23" s="576">
        <v>44834</v>
      </c>
      <c r="D23" s="377"/>
      <c r="E23" s="834"/>
      <c r="F23" s="377"/>
      <c r="G23" s="577">
        <v>44561</v>
      </c>
      <c r="H23" s="378"/>
      <c r="I23" s="834"/>
      <c r="J23" s="834"/>
      <c r="K23" s="380"/>
      <c r="L23" s="98"/>
      <c r="M23" s="6"/>
      <c r="N23" s="6"/>
    </row>
    <row r="24" spans="1:14" ht="15" customHeight="1">
      <c r="A24" s="94"/>
      <c r="B24" s="514" t="s">
        <v>286</v>
      </c>
      <c r="C24" s="503" t="s">
        <v>287</v>
      </c>
      <c r="D24" s="530" t="s">
        <v>300</v>
      </c>
      <c r="E24" s="6"/>
      <c r="F24" s="514" t="s">
        <v>286</v>
      </c>
      <c r="G24" s="503" t="s">
        <v>287</v>
      </c>
      <c r="H24" s="530" t="s">
        <v>301</v>
      </c>
      <c r="I24" s="834"/>
      <c r="J24" s="834"/>
      <c r="K24" s="380"/>
      <c r="L24" s="98"/>
      <c r="M24" s="6"/>
      <c r="N24" s="6"/>
    </row>
    <row r="25" spans="1:14" ht="15" hidden="1" customHeight="1">
      <c r="A25" s="196" t="s">
        <v>302</v>
      </c>
      <c r="B25" s="94" t="s">
        <v>292</v>
      </c>
      <c r="C25" s="379" t="s">
        <v>293</v>
      </c>
      <c r="D25" s="95">
        <v>0</v>
      </c>
      <c r="E25" s="94"/>
      <c r="F25" s="94" t="s">
        <v>292</v>
      </c>
      <c r="G25" s="379" t="s">
        <v>293</v>
      </c>
      <c r="H25" s="157">
        <v>0</v>
      </c>
      <c r="I25" s="834"/>
      <c r="J25" s="834"/>
      <c r="K25" s="380"/>
      <c r="L25" s="98"/>
      <c r="M25" s="6"/>
      <c r="N25" s="6"/>
    </row>
    <row r="26" spans="1:14" ht="15" customHeight="1">
      <c r="A26" s="196" t="s">
        <v>302</v>
      </c>
      <c r="B26" s="94" t="s">
        <v>294</v>
      </c>
      <c r="C26" s="244" t="s">
        <v>295</v>
      </c>
      <c r="D26" s="95">
        <v>7079</v>
      </c>
      <c r="E26" s="94"/>
      <c r="F26" s="94" t="s">
        <v>294</v>
      </c>
      <c r="G26" s="244" t="s">
        <v>295</v>
      </c>
      <c r="H26" s="157">
        <v>6864</v>
      </c>
      <c r="I26" s="834"/>
      <c r="J26" s="834"/>
      <c r="K26" s="380"/>
      <c r="L26" s="98"/>
      <c r="M26" s="6"/>
      <c r="N26" s="6"/>
    </row>
    <row r="27" spans="1:14" ht="15" customHeight="1">
      <c r="A27" s="381" t="s">
        <v>303</v>
      </c>
      <c r="B27" s="94" t="s">
        <v>294</v>
      </c>
      <c r="C27" s="244" t="s">
        <v>295</v>
      </c>
      <c r="D27" s="95">
        <v>7090</v>
      </c>
      <c r="E27" s="94"/>
      <c r="F27" s="94" t="s">
        <v>294</v>
      </c>
      <c r="G27" s="244" t="s">
        <v>295</v>
      </c>
      <c r="H27" s="157">
        <v>6880</v>
      </c>
      <c r="I27" s="382"/>
      <c r="J27" s="6"/>
      <c r="K27" s="6"/>
      <c r="L27" s="98"/>
      <c r="M27" s="6"/>
      <c r="N27" s="6"/>
    </row>
    <row r="28" spans="1:14" ht="15" customHeight="1">
      <c r="A28" s="382"/>
      <c r="B28" s="94"/>
      <c r="C28" s="244"/>
      <c r="D28" s="94"/>
      <c r="E28" s="94"/>
      <c r="F28" s="94"/>
      <c r="G28" s="244"/>
      <c r="H28" s="157"/>
      <c r="I28" s="382"/>
      <c r="J28" s="6"/>
      <c r="K28" s="6"/>
      <c r="L28" s="98"/>
      <c r="M28" s="6"/>
      <c r="N28" s="6"/>
    </row>
    <row r="29" spans="1:14" ht="15" customHeight="1">
      <c r="A29" s="976" t="s">
        <v>304</v>
      </c>
      <c r="B29" s="976"/>
      <c r="C29" s="976"/>
      <c r="D29" s="976"/>
      <c r="E29" s="976"/>
      <c r="F29" s="976"/>
      <c r="G29" s="976"/>
      <c r="H29" s="976"/>
      <c r="I29" s="976"/>
      <c r="J29" s="102"/>
      <c r="K29" s="102"/>
      <c r="L29" s="98"/>
      <c r="M29" s="6"/>
      <c r="N29" s="6"/>
    </row>
    <row r="30" spans="1:14" ht="28.5" customHeight="1">
      <c r="A30" s="977" t="s">
        <v>1431</v>
      </c>
      <c r="B30" s="977"/>
      <c r="C30" s="977"/>
      <c r="D30" s="977"/>
      <c r="E30" s="977"/>
      <c r="F30" s="977"/>
      <c r="G30" s="977"/>
      <c r="H30" s="977"/>
      <c r="I30" s="977"/>
      <c r="J30" s="6"/>
      <c r="K30" s="6"/>
      <c r="L30" s="98"/>
      <c r="M30" s="6"/>
      <c r="N30" s="6"/>
    </row>
    <row r="31" spans="1:14" ht="18" customHeight="1">
      <c r="A31" s="382"/>
      <c r="B31" s="382"/>
      <c r="C31" s="382"/>
      <c r="D31" s="382"/>
      <c r="E31" s="382"/>
      <c r="F31" s="382"/>
      <c r="G31" s="382"/>
      <c r="H31" s="382"/>
      <c r="I31" s="382"/>
      <c r="J31" s="6"/>
      <c r="K31" s="6"/>
      <c r="L31" s="98"/>
      <c r="M31" s="6"/>
      <c r="N31" s="6"/>
    </row>
    <row r="32" spans="1:14" ht="15" customHeight="1">
      <c r="A32" s="981" t="s">
        <v>305</v>
      </c>
      <c r="B32" s="981"/>
      <c r="C32" s="981"/>
      <c r="D32" s="981"/>
      <c r="E32" s="981"/>
      <c r="F32" s="981"/>
      <c r="G32" s="981"/>
      <c r="H32" s="981"/>
      <c r="I32" s="981"/>
      <c r="J32" s="102"/>
      <c r="K32" s="102"/>
      <c r="L32" s="98"/>
      <c r="M32" s="6"/>
      <c r="N32" s="6"/>
    </row>
    <row r="33" spans="1:14" ht="49.5" customHeight="1">
      <c r="A33" s="977" t="s">
        <v>306</v>
      </c>
      <c r="B33" s="983"/>
      <c r="C33" s="983"/>
      <c r="D33" s="983"/>
      <c r="E33" s="983"/>
      <c r="F33" s="983"/>
      <c r="G33" s="983"/>
      <c r="H33" s="983"/>
      <c r="I33" s="983"/>
      <c r="J33" s="102"/>
      <c r="K33" s="102"/>
      <c r="L33" s="98"/>
      <c r="M33" s="6"/>
      <c r="N33" s="6"/>
    </row>
    <row r="34" spans="1:14" ht="27" customHeight="1">
      <c r="A34" s="985" t="s">
        <v>307</v>
      </c>
      <c r="B34" s="985"/>
      <c r="C34" s="985"/>
      <c r="D34" s="985"/>
      <c r="E34" s="985"/>
      <c r="F34" s="985"/>
      <c r="G34" s="985"/>
      <c r="H34" s="985"/>
      <c r="I34" s="985"/>
      <c r="J34" s="102"/>
      <c r="K34" s="102"/>
      <c r="L34" s="98"/>
      <c r="M34" s="6"/>
      <c r="N34" s="6"/>
    </row>
    <row r="35" spans="1:14" ht="15" customHeight="1">
      <c r="A35" s="975"/>
      <c r="B35" s="975"/>
      <c r="C35" s="975"/>
      <c r="D35" s="975"/>
      <c r="E35" s="975"/>
      <c r="F35" s="975"/>
      <c r="G35" s="975"/>
      <c r="H35" s="975"/>
      <c r="I35" s="975"/>
      <c r="J35" s="6"/>
      <c r="K35" s="6"/>
      <c r="L35" s="98"/>
      <c r="M35" s="6"/>
      <c r="N35" s="6"/>
    </row>
    <row r="36" spans="1:14" ht="15" customHeight="1">
      <c r="A36" s="976" t="s">
        <v>308</v>
      </c>
      <c r="B36" s="976"/>
      <c r="C36" s="976"/>
      <c r="D36" s="976"/>
      <c r="E36" s="976"/>
      <c r="F36" s="976"/>
      <c r="G36" s="976"/>
      <c r="H36" s="976"/>
      <c r="I36" s="976"/>
      <c r="J36" s="102"/>
      <c r="K36" s="102"/>
      <c r="L36" s="98"/>
      <c r="M36" s="6"/>
      <c r="N36" s="6"/>
    </row>
    <row r="37" spans="1:14" ht="43.5" customHeight="1">
      <c r="A37" s="977" t="s">
        <v>309</v>
      </c>
      <c r="B37" s="977"/>
      <c r="C37" s="977"/>
      <c r="D37" s="977"/>
      <c r="E37" s="977"/>
      <c r="F37" s="977"/>
      <c r="G37" s="977"/>
      <c r="H37" s="977"/>
      <c r="I37" s="977"/>
      <c r="J37" s="6"/>
      <c r="K37" s="6"/>
      <c r="L37" s="98"/>
      <c r="M37" s="6"/>
      <c r="N37" s="6"/>
    </row>
    <row r="38" spans="1:14" ht="15" customHeight="1">
      <c r="A38" s="976" t="s">
        <v>310</v>
      </c>
      <c r="B38" s="975"/>
      <c r="C38" s="975"/>
      <c r="D38" s="975"/>
      <c r="E38" s="975"/>
      <c r="F38" s="975"/>
      <c r="G38" s="975"/>
      <c r="H38" s="975"/>
      <c r="I38" s="975"/>
      <c r="J38" s="6"/>
      <c r="K38" s="6"/>
      <c r="L38" s="98"/>
      <c r="M38" s="6"/>
      <c r="N38" s="6"/>
    </row>
    <row r="39" spans="1:14" ht="15" customHeight="1">
      <c r="A39" s="975" t="s">
        <v>311</v>
      </c>
      <c r="B39" s="975"/>
      <c r="C39" s="975"/>
      <c r="D39" s="975"/>
      <c r="E39" s="975"/>
      <c r="F39" s="975"/>
      <c r="G39" s="975"/>
      <c r="H39" s="975"/>
      <c r="I39" s="975"/>
      <c r="J39" s="6"/>
      <c r="K39" s="6"/>
      <c r="L39" s="98"/>
      <c r="M39" s="6"/>
      <c r="N39" s="6"/>
    </row>
    <row r="40" spans="1:14" ht="15" customHeight="1">
      <c r="A40" s="975" t="s">
        <v>312</v>
      </c>
      <c r="B40" s="975"/>
      <c r="C40" s="975"/>
      <c r="D40" s="975"/>
      <c r="E40" s="975"/>
      <c r="F40" s="975"/>
      <c r="G40" s="975"/>
      <c r="H40" s="975"/>
      <c r="I40" s="975"/>
      <c r="J40" s="6"/>
      <c r="K40" s="6"/>
      <c r="L40" s="98"/>
      <c r="M40" s="6"/>
      <c r="N40" s="6"/>
    </row>
    <row r="41" spans="1:14" ht="15" customHeight="1">
      <c r="A41" s="975" t="s">
        <v>313</v>
      </c>
      <c r="B41" s="975"/>
      <c r="C41" s="975"/>
      <c r="D41" s="975"/>
      <c r="E41" s="975"/>
      <c r="F41" s="975"/>
      <c r="G41" s="975"/>
      <c r="H41" s="975"/>
      <c r="I41" s="975"/>
      <c r="J41" s="6"/>
      <c r="K41" s="6"/>
      <c r="L41" s="98"/>
      <c r="M41" s="6"/>
      <c r="N41" s="6"/>
    </row>
    <row r="42" spans="1:14" ht="15" customHeight="1">
      <c r="A42" s="975" t="s">
        <v>314</v>
      </c>
      <c r="B42" s="975"/>
      <c r="C42" s="975"/>
      <c r="D42" s="975"/>
      <c r="E42" s="975"/>
      <c r="F42" s="975"/>
      <c r="G42" s="975"/>
      <c r="H42" s="975"/>
      <c r="I42" s="975"/>
      <c r="J42" s="6"/>
      <c r="K42" s="6"/>
      <c r="L42" s="98"/>
      <c r="M42" s="6"/>
      <c r="N42" s="6"/>
    </row>
    <row r="43" spans="1:14" ht="15" customHeight="1">
      <c r="A43" s="975" t="s">
        <v>315</v>
      </c>
      <c r="B43" s="975"/>
      <c r="C43" s="975"/>
      <c r="D43" s="975"/>
      <c r="E43" s="975"/>
      <c r="F43" s="975"/>
      <c r="G43" s="975"/>
      <c r="H43" s="975"/>
      <c r="I43" s="975"/>
      <c r="J43" s="6"/>
      <c r="K43" s="6"/>
      <c r="L43" s="98"/>
      <c r="M43" s="6"/>
      <c r="N43" s="6"/>
    </row>
    <row r="44" spans="1:14" ht="15" customHeight="1">
      <c r="A44" s="975" t="s">
        <v>316</v>
      </c>
      <c r="B44" s="975"/>
      <c r="C44" s="975"/>
      <c r="D44" s="975"/>
      <c r="E44" s="975"/>
      <c r="F44" s="975"/>
      <c r="G44" s="975"/>
      <c r="H44" s="975"/>
      <c r="I44" s="975"/>
      <c r="J44" s="6"/>
      <c r="K44" s="6"/>
      <c r="L44" s="98"/>
      <c r="M44" s="6"/>
      <c r="N44" s="6"/>
    </row>
    <row r="45" spans="1:14" ht="10.5" customHeight="1">
      <c r="A45" s="381"/>
      <c r="B45" s="381"/>
      <c r="C45" s="381"/>
      <c r="D45" s="381"/>
      <c r="E45" s="381"/>
      <c r="F45" s="381"/>
      <c r="G45" s="381"/>
      <c r="H45" s="381"/>
      <c r="I45" s="381"/>
      <c r="J45" s="6"/>
      <c r="K45" s="6"/>
      <c r="L45" s="98"/>
      <c r="M45" s="6"/>
      <c r="N45" s="6"/>
    </row>
    <row r="46" spans="1:14" ht="15" customHeight="1">
      <c r="A46" s="976" t="s">
        <v>317</v>
      </c>
      <c r="B46" s="976"/>
      <c r="C46" s="976"/>
      <c r="D46" s="976"/>
      <c r="E46" s="976"/>
      <c r="F46" s="976"/>
      <c r="G46" s="976"/>
      <c r="H46" s="976"/>
      <c r="I46" s="976"/>
      <c r="J46" s="102"/>
      <c r="K46" s="102"/>
      <c r="L46" s="98"/>
      <c r="M46" s="6"/>
      <c r="N46" s="6"/>
    </row>
    <row r="47" spans="1:14" ht="43.5" customHeight="1">
      <c r="A47" s="977" t="s">
        <v>318</v>
      </c>
      <c r="B47" s="977"/>
      <c r="C47" s="977"/>
      <c r="D47" s="977"/>
      <c r="E47" s="977"/>
      <c r="F47" s="977"/>
      <c r="G47" s="977"/>
      <c r="H47" s="977"/>
      <c r="I47" s="977"/>
      <c r="J47" s="102"/>
      <c r="K47" s="102"/>
      <c r="L47" s="98"/>
      <c r="M47" s="6"/>
      <c r="N47" s="6"/>
    </row>
    <row r="48" spans="1:14" ht="12.75" customHeight="1">
      <c r="A48" s="6" t="s">
        <v>319</v>
      </c>
      <c r="B48" s="6"/>
      <c r="C48" s="6"/>
      <c r="D48" s="6"/>
      <c r="E48" s="6"/>
      <c r="F48" s="6"/>
      <c r="G48" s="6"/>
      <c r="H48" s="6"/>
      <c r="I48" s="6"/>
      <c r="J48" s="6"/>
      <c r="K48" s="6"/>
      <c r="L48" s="98"/>
      <c r="M48" s="6"/>
      <c r="N48" s="6"/>
    </row>
    <row r="49" spans="1:14" ht="13.5" customHeight="1">
      <c r="A49" s="381"/>
      <c r="B49" s="381"/>
      <c r="C49" s="381"/>
      <c r="D49" s="381"/>
      <c r="E49" s="381"/>
      <c r="F49" s="381"/>
      <c r="G49" s="381"/>
      <c r="H49" s="381"/>
      <c r="I49" s="381"/>
      <c r="J49" s="6"/>
      <c r="K49" s="6"/>
      <c r="L49" s="98"/>
      <c r="M49" s="6"/>
      <c r="N49" s="6"/>
    </row>
    <row r="50" spans="1:14" ht="15" customHeight="1">
      <c r="A50" s="976" t="s">
        <v>320</v>
      </c>
      <c r="B50" s="976"/>
      <c r="C50" s="976"/>
      <c r="D50" s="976"/>
      <c r="E50" s="976"/>
      <c r="F50" s="976"/>
      <c r="G50" s="976"/>
      <c r="H50" s="976"/>
      <c r="I50" s="976"/>
      <c r="J50" s="102"/>
      <c r="K50" s="102"/>
      <c r="L50" s="98"/>
      <c r="M50" s="6"/>
      <c r="N50" s="6"/>
    </row>
    <row r="51" spans="1:14" ht="27" customHeight="1">
      <c r="A51" s="977" t="s">
        <v>321</v>
      </c>
      <c r="B51" s="977"/>
      <c r="C51" s="977"/>
      <c r="D51" s="977"/>
      <c r="E51" s="977"/>
      <c r="F51" s="977"/>
      <c r="G51" s="977"/>
      <c r="H51" s="977"/>
      <c r="I51" s="977"/>
      <c r="J51" s="6"/>
      <c r="K51" s="6"/>
      <c r="L51" s="98"/>
      <c r="M51" s="6"/>
      <c r="N51" s="6"/>
    </row>
    <row r="52" spans="1:14" ht="15" customHeight="1">
      <c r="A52" s="382"/>
      <c r="B52" s="382"/>
      <c r="C52" s="382"/>
      <c r="D52" s="382"/>
      <c r="E52" s="382"/>
      <c r="F52" s="382"/>
      <c r="G52" s="382"/>
      <c r="H52" s="382"/>
      <c r="I52" s="382"/>
      <c r="J52" s="6"/>
      <c r="K52" s="6"/>
      <c r="L52" s="98"/>
      <c r="M52" s="6"/>
      <c r="N52" s="6"/>
    </row>
    <row r="53" spans="1:14" ht="15" hidden="1" customHeight="1">
      <c r="A53" s="976" t="s">
        <v>322</v>
      </c>
      <c r="B53" s="976"/>
      <c r="C53" s="976"/>
      <c r="D53" s="976"/>
      <c r="E53" s="976"/>
      <c r="F53" s="976"/>
      <c r="G53" s="976"/>
      <c r="H53" s="976"/>
      <c r="I53" s="976"/>
      <c r="J53" s="975"/>
      <c r="K53" s="975"/>
      <c r="L53" s="98"/>
      <c r="M53" s="6"/>
      <c r="N53" s="6"/>
    </row>
    <row r="54" spans="1:14" ht="15.75" hidden="1" customHeight="1">
      <c r="A54" s="977" t="s">
        <v>323</v>
      </c>
      <c r="B54" s="977"/>
      <c r="C54" s="977"/>
      <c r="D54" s="977"/>
      <c r="E54" s="977"/>
      <c r="F54" s="977"/>
      <c r="G54" s="977"/>
      <c r="H54" s="977"/>
      <c r="I54" s="977"/>
      <c r="J54" s="975"/>
      <c r="K54" s="975"/>
      <c r="L54" s="98"/>
      <c r="M54" s="6"/>
      <c r="N54" s="6"/>
    </row>
    <row r="55" spans="1:14" ht="15" hidden="1" customHeight="1">
      <c r="A55" s="975"/>
      <c r="B55" s="975"/>
      <c r="C55" s="975"/>
      <c r="D55" s="975"/>
      <c r="E55" s="975"/>
      <c r="F55" s="975"/>
      <c r="G55" s="975"/>
      <c r="H55" s="975"/>
      <c r="I55" s="975"/>
      <c r="J55" s="975"/>
      <c r="K55" s="975"/>
      <c r="L55" s="98"/>
      <c r="M55" s="6"/>
      <c r="N55" s="6"/>
    </row>
    <row r="56" spans="1:14" ht="15" customHeight="1">
      <c r="A56" s="976" t="s">
        <v>324</v>
      </c>
      <c r="B56" s="976"/>
      <c r="C56" s="976"/>
      <c r="D56" s="976"/>
      <c r="E56" s="976"/>
      <c r="F56" s="976"/>
      <c r="G56" s="976"/>
      <c r="H56" s="976"/>
      <c r="I56" s="976"/>
      <c r="J56" s="975"/>
      <c r="K56" s="975"/>
      <c r="L56" s="98"/>
      <c r="M56" s="6"/>
      <c r="N56" s="6"/>
    </row>
    <row r="57" spans="1:14" ht="36.75" customHeight="1">
      <c r="A57" s="977" t="s">
        <v>325</v>
      </c>
      <c r="B57" s="977"/>
      <c r="C57" s="977"/>
      <c r="D57" s="977"/>
      <c r="E57" s="977"/>
      <c r="F57" s="977"/>
      <c r="G57" s="977"/>
      <c r="H57" s="977"/>
      <c r="I57" s="977"/>
      <c r="J57" s="975"/>
      <c r="K57" s="975"/>
      <c r="L57" s="98"/>
      <c r="M57" s="6"/>
      <c r="N57" s="6"/>
    </row>
    <row r="58" spans="1:14" ht="25.5" customHeight="1">
      <c r="A58" s="977" t="s">
        <v>326</v>
      </c>
      <c r="B58" s="977"/>
      <c r="C58" s="977"/>
      <c r="D58" s="977"/>
      <c r="E58" s="977"/>
      <c r="F58" s="977"/>
      <c r="G58" s="977"/>
      <c r="H58" s="977"/>
      <c r="I58" s="977"/>
      <c r="J58" s="975"/>
      <c r="K58" s="975"/>
      <c r="L58" s="98"/>
      <c r="M58" s="6"/>
      <c r="N58" s="6"/>
    </row>
    <row r="59" spans="1:14" ht="15" customHeight="1">
      <c r="A59" s="977" t="s">
        <v>327</v>
      </c>
      <c r="B59" s="977"/>
      <c r="C59" s="977"/>
      <c r="D59" s="977"/>
      <c r="E59" s="977"/>
      <c r="F59" s="977"/>
      <c r="G59" s="977"/>
      <c r="H59" s="977"/>
      <c r="I59" s="977"/>
      <c r="J59" s="381"/>
      <c r="K59" s="381"/>
      <c r="L59" s="98"/>
      <c r="M59" s="6"/>
      <c r="N59" s="6"/>
    </row>
    <row r="60" spans="1:14" ht="15" customHeight="1">
      <c r="A60" s="975"/>
      <c r="B60" s="975"/>
      <c r="C60" s="975"/>
      <c r="D60" s="975"/>
      <c r="E60" s="975"/>
      <c r="F60" s="975"/>
      <c r="G60" s="975"/>
      <c r="H60" s="975"/>
      <c r="I60" s="975"/>
      <c r="J60" s="975"/>
      <c r="K60" s="975"/>
      <c r="L60" s="98"/>
      <c r="M60" s="6"/>
      <c r="N60" s="6"/>
    </row>
    <row r="61" spans="1:14" ht="15" customHeight="1">
      <c r="A61" s="976" t="s">
        <v>328</v>
      </c>
      <c r="B61" s="976"/>
      <c r="C61" s="976"/>
      <c r="D61" s="976"/>
      <c r="E61" s="976"/>
      <c r="F61" s="976"/>
      <c r="G61" s="976"/>
      <c r="H61" s="976"/>
      <c r="I61" s="976"/>
      <c r="J61" s="975"/>
      <c r="K61" s="975"/>
      <c r="L61" s="98"/>
      <c r="M61" s="6"/>
      <c r="N61" s="6"/>
    </row>
    <row r="62" spans="1:14" s="6" customFormat="1" ht="15" customHeight="1">
      <c r="A62" s="977" t="s">
        <v>329</v>
      </c>
      <c r="B62" s="977"/>
      <c r="C62" s="977"/>
      <c r="D62" s="977"/>
      <c r="E62" s="977"/>
      <c r="F62" s="977"/>
      <c r="G62" s="977"/>
      <c r="H62" s="977"/>
      <c r="I62" s="977"/>
      <c r="J62" s="975"/>
      <c r="K62" s="975"/>
      <c r="L62" s="98"/>
    </row>
    <row r="63" spans="1:14" s="263" customFormat="1" ht="15" customHeight="1">
      <c r="A63" s="383"/>
      <c r="B63" s="383"/>
      <c r="C63" s="383"/>
      <c r="D63" s="383"/>
      <c r="E63" s="383"/>
      <c r="F63" s="383"/>
      <c r="G63" s="383"/>
      <c r="H63" s="383"/>
      <c r="I63" s="383"/>
      <c r="J63" s="384"/>
      <c r="K63" s="384"/>
      <c r="L63" s="596"/>
      <c r="M63" s="64"/>
      <c r="N63" s="64"/>
    </row>
    <row r="64" spans="1:14" s="263" customFormat="1" ht="15" customHeight="1">
      <c r="A64" s="976" t="s">
        <v>330</v>
      </c>
      <c r="B64" s="976"/>
      <c r="C64" s="976"/>
      <c r="D64" s="976"/>
      <c r="E64" s="976"/>
      <c r="F64" s="976"/>
      <c r="G64" s="976"/>
      <c r="H64" s="976"/>
      <c r="I64" s="976"/>
      <c r="J64" s="384"/>
      <c r="K64" s="384"/>
      <c r="L64" s="596"/>
      <c r="M64" s="64"/>
      <c r="N64" s="64"/>
    </row>
    <row r="65" spans="1:14" s="263" customFormat="1" ht="35.25" customHeight="1">
      <c r="A65" s="977" t="s">
        <v>331</v>
      </c>
      <c r="B65" s="977"/>
      <c r="C65" s="977"/>
      <c r="D65" s="977"/>
      <c r="E65" s="977"/>
      <c r="F65" s="977"/>
      <c r="G65" s="977"/>
      <c r="H65" s="977"/>
      <c r="I65" s="977"/>
      <c r="J65" s="384"/>
      <c r="K65" s="384"/>
      <c r="L65" s="596"/>
      <c r="M65" s="64"/>
      <c r="N65" s="64"/>
    </row>
    <row r="66" spans="1:14" ht="1.5" customHeight="1">
      <c r="A66" s="6"/>
      <c r="B66" s="6"/>
      <c r="C66" s="6"/>
      <c r="D66" s="6"/>
      <c r="E66" s="6"/>
      <c r="F66" s="6"/>
      <c r="G66" s="6"/>
      <c r="H66" s="6"/>
      <c r="I66" s="6"/>
      <c r="J66" s="975"/>
      <c r="K66" s="975"/>
      <c r="L66" s="98"/>
      <c r="M66" s="6"/>
      <c r="N66" s="6"/>
    </row>
    <row r="67" spans="1:14" ht="15" hidden="1" customHeight="1">
      <c r="A67" s="382"/>
      <c r="B67" s="382"/>
      <c r="C67" s="382"/>
      <c r="D67" s="382"/>
      <c r="E67" s="382"/>
      <c r="F67" s="382"/>
      <c r="G67" s="382"/>
      <c r="H67" s="382"/>
      <c r="I67" s="382"/>
      <c r="J67" s="381"/>
      <c r="K67" s="381"/>
      <c r="L67" s="98"/>
      <c r="M67" s="6"/>
      <c r="N67" s="6"/>
    </row>
    <row r="68" spans="1:14" ht="15.75" customHeight="1">
      <c r="A68" s="382"/>
      <c r="B68" s="382"/>
      <c r="C68" s="382"/>
      <c r="D68" s="382"/>
      <c r="E68" s="382"/>
      <c r="F68" s="382"/>
      <c r="G68" s="382"/>
      <c r="H68" s="382"/>
      <c r="I68" s="382"/>
      <c r="J68" s="381"/>
      <c r="K68" s="381"/>
      <c r="L68" s="98"/>
      <c r="M68" s="6"/>
      <c r="N68" s="6"/>
    </row>
    <row r="69" spans="1:14" ht="15" customHeight="1">
      <c r="A69" s="976" t="s">
        <v>332</v>
      </c>
      <c r="B69" s="976"/>
      <c r="C69" s="976"/>
      <c r="D69" s="976"/>
      <c r="E69" s="976"/>
      <c r="F69" s="976"/>
      <c r="G69" s="976"/>
      <c r="H69" s="976"/>
      <c r="I69" s="976"/>
      <c r="J69" s="975"/>
      <c r="K69" s="975"/>
      <c r="L69" s="98"/>
      <c r="M69" s="6"/>
      <c r="N69" s="6"/>
    </row>
    <row r="70" spans="1:14" ht="28.5" customHeight="1">
      <c r="A70" s="977" t="s">
        <v>333</v>
      </c>
      <c r="B70" s="977"/>
      <c r="C70" s="977"/>
      <c r="D70" s="977"/>
      <c r="E70" s="977"/>
      <c r="F70" s="977"/>
      <c r="G70" s="977"/>
      <c r="H70" s="977"/>
      <c r="I70" s="977"/>
      <c r="J70" s="381"/>
      <c r="K70" s="381"/>
      <c r="L70" s="98"/>
      <c r="M70" s="6"/>
      <c r="N70" s="6"/>
    </row>
    <row r="71" spans="1:14" ht="15" customHeight="1">
      <c r="A71" s="382"/>
      <c r="B71" s="382"/>
      <c r="C71" s="382"/>
      <c r="D71" s="382"/>
      <c r="E71" s="382"/>
      <c r="F71" s="382"/>
      <c r="G71" s="382"/>
      <c r="H71" s="382"/>
      <c r="I71" s="382"/>
      <c r="J71" s="381"/>
      <c r="K71" s="381"/>
      <c r="L71" s="98"/>
      <c r="M71" s="6"/>
      <c r="N71" s="6"/>
    </row>
    <row r="72" spans="1:14" ht="16.5" customHeight="1">
      <c r="A72" s="949" t="s">
        <v>334</v>
      </c>
      <c r="B72" s="949"/>
      <c r="C72" s="949"/>
      <c r="D72" s="949"/>
      <c r="E72" s="949"/>
      <c r="F72" s="949"/>
      <c r="G72" s="949"/>
      <c r="H72" s="949"/>
      <c r="I72" s="949"/>
      <c r="J72" s="111"/>
      <c r="K72" s="111"/>
      <c r="L72" s="98"/>
      <c r="M72" s="6"/>
      <c r="N72" s="6"/>
    </row>
    <row r="73" spans="1:14" ht="16.5" customHeight="1">
      <c r="A73" s="371" t="s">
        <v>335</v>
      </c>
      <c r="B73" s="371"/>
      <c r="C73" s="371"/>
      <c r="D73" s="371"/>
      <c r="E73" s="371"/>
      <c r="F73" s="385"/>
      <c r="G73" s="385"/>
      <c r="H73" s="385"/>
      <c r="I73" s="385"/>
      <c r="J73" s="111"/>
      <c r="K73" s="111"/>
      <c r="L73" s="98"/>
      <c r="M73" s="6"/>
      <c r="N73" s="6"/>
    </row>
    <row r="74" spans="1:14" ht="16.5" customHeight="1">
      <c r="A74" s="90" t="s">
        <v>336</v>
      </c>
      <c r="B74" s="90"/>
      <c r="C74" s="90"/>
      <c r="D74" s="90"/>
      <c r="E74" s="90"/>
      <c r="F74" s="90"/>
      <c r="G74" s="90"/>
      <c r="H74" s="371"/>
      <c r="I74" s="371"/>
      <c r="J74" s="6"/>
      <c r="K74" s="6"/>
      <c r="L74" s="98"/>
      <c r="M74" s="6"/>
      <c r="N74" s="6"/>
    </row>
    <row r="75" spans="1:14" ht="16.5" customHeight="1">
      <c r="A75" s="90" t="s">
        <v>337</v>
      </c>
      <c r="B75" s="619"/>
      <c r="C75" s="619"/>
      <c r="D75" s="619"/>
      <c r="E75" s="619"/>
      <c r="F75" s="619"/>
      <c r="G75" s="619"/>
      <c r="H75" s="385"/>
      <c r="I75" s="385"/>
      <c r="J75" s="111"/>
      <c r="K75" s="111"/>
      <c r="L75" s="98"/>
      <c r="M75" s="6"/>
      <c r="N75" s="6"/>
    </row>
    <row r="76" spans="1:14" ht="16.5" customHeight="1">
      <c r="A76" s="90" t="s">
        <v>338</v>
      </c>
      <c r="B76" s="90"/>
      <c r="C76" s="90"/>
      <c r="D76" s="90"/>
      <c r="E76" s="90"/>
      <c r="F76" s="90"/>
      <c r="G76" s="90"/>
      <c r="H76" s="385"/>
      <c r="I76" s="385"/>
      <c r="J76" s="111"/>
      <c r="K76" s="111"/>
      <c r="L76" s="98"/>
      <c r="M76" s="6"/>
      <c r="N76" s="6"/>
    </row>
    <row r="77" spans="1:14" ht="16.5" customHeight="1">
      <c r="A77" s="90" t="s">
        <v>339</v>
      </c>
      <c r="B77" s="90"/>
      <c r="C77" s="90"/>
      <c r="D77" s="90"/>
      <c r="E77" s="90"/>
      <c r="F77" s="90"/>
      <c r="G77" s="90"/>
      <c r="H77" s="385"/>
      <c r="I77" s="385"/>
      <c r="J77" s="111"/>
      <c r="K77" s="111"/>
      <c r="L77" s="98"/>
      <c r="M77" s="6"/>
      <c r="N77" s="6"/>
    </row>
    <row r="78" spans="1:14" ht="21.75" customHeight="1">
      <c r="A78" s="980" t="s">
        <v>340</v>
      </c>
      <c r="B78" s="980"/>
      <c r="C78" s="980"/>
      <c r="D78" s="980"/>
      <c r="E78" s="980"/>
      <c r="F78" s="980"/>
      <c r="G78" s="980"/>
      <c r="H78" s="980"/>
      <c r="I78" s="385"/>
      <c r="J78" s="111"/>
      <c r="K78" s="111"/>
      <c r="L78" s="98"/>
      <c r="M78" s="6"/>
      <c r="N78" s="6"/>
    </row>
    <row r="79" spans="1:14" ht="16.5" customHeight="1">
      <c r="A79" s="90"/>
      <c r="B79" s="90"/>
      <c r="C79" s="90"/>
      <c r="D79" s="90"/>
      <c r="E79" s="90"/>
      <c r="F79" s="90"/>
      <c r="G79" s="90"/>
      <c r="H79" s="385"/>
      <c r="I79" s="385"/>
      <c r="J79" s="111"/>
      <c r="K79" s="111"/>
      <c r="L79" s="98"/>
      <c r="M79" s="6"/>
      <c r="N79" s="6"/>
    </row>
    <row r="80" spans="1:14" ht="15" customHeight="1">
      <c r="A80" s="976" t="s">
        <v>341</v>
      </c>
      <c r="B80" s="976"/>
      <c r="C80" s="976"/>
      <c r="D80" s="976"/>
      <c r="E80" s="976"/>
      <c r="F80" s="976"/>
      <c r="G80" s="976"/>
      <c r="H80" s="976"/>
      <c r="I80" s="976"/>
      <c r="J80" s="381"/>
      <c r="K80" s="381"/>
      <c r="L80" s="98"/>
      <c r="M80" s="6"/>
      <c r="N80" s="6"/>
    </row>
    <row r="81" spans="1:14" ht="51.75" customHeight="1">
      <c r="A81" s="977" t="s">
        <v>342</v>
      </c>
      <c r="B81" s="977"/>
      <c r="C81" s="977"/>
      <c r="D81" s="977"/>
      <c r="E81" s="977"/>
      <c r="F81" s="977"/>
      <c r="G81" s="977"/>
      <c r="H81" s="977"/>
      <c r="I81" s="977"/>
      <c r="J81" s="381"/>
      <c r="K81" s="381"/>
      <c r="L81" s="98"/>
      <c r="M81" s="6"/>
      <c r="N81" s="6"/>
    </row>
    <row r="82" spans="1:14" s="263" customFormat="1" ht="15" customHeight="1">
      <c r="A82" s="978"/>
      <c r="B82" s="978"/>
      <c r="C82" s="978"/>
      <c r="D82" s="978"/>
      <c r="E82" s="978"/>
      <c r="F82" s="978"/>
      <c r="G82" s="978"/>
      <c r="H82" s="978"/>
      <c r="I82" s="978"/>
      <c r="J82" s="64"/>
      <c r="K82" s="64"/>
      <c r="L82" s="596"/>
      <c r="M82" s="64"/>
      <c r="N82" s="64"/>
    </row>
    <row r="83" spans="1:14" ht="15" customHeight="1">
      <c r="A83" s="6"/>
      <c r="B83" s="6"/>
      <c r="C83" s="6"/>
      <c r="D83" s="6"/>
      <c r="E83" s="6"/>
      <c r="F83" s="6"/>
      <c r="G83" s="6"/>
      <c r="H83" s="6"/>
      <c r="I83" s="6"/>
      <c r="J83" s="6"/>
      <c r="K83" s="6"/>
      <c r="L83" s="98"/>
      <c r="M83" s="6"/>
      <c r="N83" s="6"/>
    </row>
    <row r="84" spans="1:14" ht="15" customHeight="1">
      <c r="A84" s="6"/>
      <c r="B84" s="6"/>
      <c r="C84" s="6"/>
      <c r="D84" s="6"/>
      <c r="E84" s="6"/>
      <c r="F84" s="6"/>
      <c r="G84" s="6"/>
      <c r="H84" s="6"/>
      <c r="I84" s="6"/>
      <c r="J84" s="6"/>
      <c r="K84" s="6"/>
      <c r="L84" s="98"/>
      <c r="M84" s="6"/>
      <c r="N84" s="6"/>
    </row>
    <row r="85" spans="1:14" ht="15" customHeight="1">
      <c r="A85" s="386"/>
      <c r="B85" s="6"/>
      <c r="C85" s="6"/>
      <c r="D85" s="6"/>
      <c r="E85" s="6"/>
      <c r="F85" s="6"/>
      <c r="G85" s="6"/>
      <c r="H85" s="6"/>
      <c r="I85" s="6"/>
      <c r="J85" s="6"/>
      <c r="K85" s="6"/>
      <c r="L85" s="98"/>
      <c r="M85" s="6"/>
      <c r="N85" s="6"/>
    </row>
    <row r="86" spans="1:14" ht="15" customHeight="1">
      <c r="A86" s="6"/>
      <c r="B86" s="6"/>
      <c r="C86" s="6"/>
      <c r="D86" s="6"/>
      <c r="E86" s="6"/>
      <c r="F86" s="6"/>
      <c r="G86" s="6"/>
      <c r="H86" s="6"/>
      <c r="I86" s="6"/>
      <c r="J86" s="6"/>
      <c r="K86" s="6"/>
      <c r="L86" s="98"/>
      <c r="M86" s="6"/>
      <c r="N86" s="6"/>
    </row>
    <row r="87" spans="1:14" ht="15" customHeight="1">
      <c r="A87" s="6"/>
      <c r="B87" s="6"/>
      <c r="C87" s="6"/>
      <c r="D87" s="6"/>
      <c r="E87" s="6"/>
      <c r="F87" s="6"/>
      <c r="G87" s="6"/>
      <c r="H87" s="6"/>
      <c r="I87" s="6"/>
      <c r="J87" s="6"/>
      <c r="K87" s="6"/>
      <c r="L87" s="98"/>
      <c r="M87" s="6"/>
      <c r="N87" s="6"/>
    </row>
    <row r="88" spans="1:14" ht="15" customHeight="1">
      <c r="A88" s="6"/>
      <c r="B88" s="6"/>
      <c r="C88" s="6"/>
      <c r="D88" s="6"/>
      <c r="E88" s="6"/>
      <c r="F88" s="6"/>
      <c r="G88" s="6"/>
      <c r="H88" s="6"/>
      <c r="I88" s="6"/>
      <c r="J88" s="6"/>
      <c r="K88" s="6"/>
      <c r="L88" s="98"/>
      <c r="M88" s="6"/>
      <c r="N88" s="6"/>
    </row>
    <row r="89" spans="1:14" ht="15" customHeight="1">
      <c r="A89" s="6"/>
      <c r="B89" s="6"/>
      <c r="C89" s="6"/>
      <c r="D89" s="6"/>
      <c r="E89" s="6"/>
      <c r="F89" s="6"/>
      <c r="G89" s="6"/>
      <c r="H89" s="6"/>
      <c r="I89" s="6"/>
      <c r="J89" s="6"/>
      <c r="K89" s="6"/>
      <c r="L89" s="98"/>
      <c r="M89" s="6"/>
      <c r="N89" s="6"/>
    </row>
    <row r="90" spans="1:14" ht="15" customHeight="1">
      <c r="A90" s="6"/>
      <c r="B90" s="6"/>
      <c r="C90" s="6"/>
      <c r="D90" s="6"/>
      <c r="E90" s="6"/>
      <c r="F90" s="6"/>
      <c r="G90" s="6"/>
      <c r="H90" s="6"/>
      <c r="I90" s="6"/>
      <c r="J90" s="6"/>
      <c r="K90" s="6"/>
      <c r="L90" s="98"/>
      <c r="M90" s="6"/>
      <c r="N90" s="6"/>
    </row>
    <row r="91" spans="1:14" ht="15" customHeight="1">
      <c r="A91" s="6"/>
      <c r="B91" s="6"/>
      <c r="C91" s="6"/>
      <c r="D91" s="6"/>
      <c r="E91" s="6"/>
      <c r="F91" s="6"/>
      <c r="G91" s="6"/>
      <c r="H91" s="6"/>
      <c r="I91" s="6"/>
      <c r="J91" s="6"/>
      <c r="K91" s="6"/>
      <c r="L91" s="98"/>
      <c r="M91" s="6"/>
      <c r="N91" s="6"/>
    </row>
    <row r="92" spans="1:14" ht="15" customHeight="1">
      <c r="A92" s="6"/>
      <c r="B92" s="6"/>
      <c r="C92" s="6"/>
      <c r="D92" s="6"/>
      <c r="E92" s="6"/>
      <c r="F92" s="6"/>
      <c r="G92" s="6"/>
      <c r="H92" s="6"/>
      <c r="I92" s="6"/>
      <c r="J92" s="6"/>
      <c r="K92" s="6"/>
      <c r="L92" s="98"/>
      <c r="M92" s="6"/>
      <c r="N92" s="6"/>
    </row>
    <row r="93" spans="1:14" ht="15" customHeight="1">
      <c r="A93" s="6"/>
      <c r="B93" s="6"/>
      <c r="C93" s="6"/>
      <c r="D93" s="6"/>
      <c r="E93" s="6"/>
      <c r="F93" s="6"/>
      <c r="G93" s="6"/>
      <c r="H93" s="6"/>
      <c r="I93" s="6"/>
      <c r="J93" s="6"/>
      <c r="K93" s="6"/>
      <c r="L93" s="98"/>
      <c r="M93" s="6"/>
      <c r="N93" s="6"/>
    </row>
    <row r="94" spans="1:14" ht="15" customHeight="1">
      <c r="A94" s="6"/>
      <c r="B94" s="6"/>
      <c r="C94" s="6"/>
      <c r="D94" s="6"/>
      <c r="E94" s="6"/>
      <c r="F94" s="6"/>
      <c r="G94" s="6"/>
      <c r="H94" s="6"/>
      <c r="I94" s="6"/>
      <c r="J94" s="6"/>
      <c r="K94" s="6"/>
      <c r="L94" s="98"/>
      <c r="M94" s="6"/>
      <c r="N94" s="6"/>
    </row>
    <row r="95" spans="1:14" ht="15" customHeight="1">
      <c r="A95" s="6"/>
      <c r="B95" s="6"/>
      <c r="C95" s="6"/>
      <c r="D95" s="6"/>
      <c r="E95" s="6"/>
      <c r="F95" s="6"/>
      <c r="G95" s="6"/>
      <c r="H95" s="6"/>
      <c r="I95" s="6"/>
      <c r="J95" s="6"/>
      <c r="K95" s="6"/>
      <c r="L95" s="98"/>
      <c r="M95" s="6"/>
      <c r="N95" s="6"/>
    </row>
    <row r="96" spans="1:14">
      <c r="A96" s="6"/>
      <c r="B96" s="6"/>
      <c r="C96" s="6"/>
      <c r="D96" s="6"/>
      <c r="E96" s="6"/>
      <c r="F96" s="6"/>
      <c r="G96" s="6"/>
      <c r="H96" s="6"/>
      <c r="I96" s="6"/>
      <c r="J96" s="6"/>
      <c r="K96" s="6"/>
      <c r="L96" s="98"/>
      <c r="M96" s="6"/>
      <c r="N96" s="6"/>
    </row>
    <row r="97" spans="1:14">
      <c r="A97" s="6"/>
      <c r="B97" s="6"/>
      <c r="C97" s="6"/>
      <c r="D97" s="6"/>
      <c r="E97" s="6"/>
      <c r="F97" s="6"/>
      <c r="G97" s="6"/>
      <c r="H97" s="6"/>
      <c r="I97" s="6"/>
      <c r="J97" s="6"/>
      <c r="K97" s="6"/>
      <c r="L97" s="98"/>
      <c r="M97" s="6"/>
      <c r="N97" s="6"/>
    </row>
    <row r="98" spans="1:14">
      <c r="A98" s="6"/>
      <c r="B98" s="6"/>
      <c r="C98" s="6"/>
      <c r="D98" s="6"/>
      <c r="E98" s="6"/>
      <c r="F98" s="6"/>
      <c r="G98" s="6"/>
      <c r="H98" s="6"/>
      <c r="I98" s="6"/>
      <c r="J98" s="6"/>
      <c r="K98" s="6"/>
      <c r="L98" s="98"/>
      <c r="M98" s="6"/>
      <c r="N98" s="6"/>
    </row>
    <row r="99" spans="1:14">
      <c r="A99" s="6"/>
      <c r="B99" s="6"/>
      <c r="C99" s="6"/>
      <c r="D99" s="6"/>
      <c r="E99" s="6"/>
      <c r="F99" s="979"/>
      <c r="G99" s="979"/>
      <c r="H99" s="979"/>
      <c r="I99" s="979"/>
      <c r="J99" s="979"/>
      <c r="K99" s="979"/>
      <c r="L99" s="979"/>
      <c r="M99" s="979"/>
      <c r="N99" s="979"/>
    </row>
  </sheetData>
  <mergeCells count="60">
    <mergeCell ref="A37:I37"/>
    <mergeCell ref="J56:K56"/>
    <mergeCell ref="J57:K57"/>
    <mergeCell ref="A3:I3"/>
    <mergeCell ref="A38:I38"/>
    <mergeCell ref="A8:I8"/>
    <mergeCell ref="A7:I7"/>
    <mergeCell ref="A6:I6"/>
    <mergeCell ref="A34:I34"/>
    <mergeCell ref="A35:I35"/>
    <mergeCell ref="A5:I5"/>
    <mergeCell ref="A12:I12"/>
    <mergeCell ref="A30:I30"/>
    <mergeCell ref="B21:J21"/>
    <mergeCell ref="A9:I9"/>
    <mergeCell ref="A10:I10"/>
    <mergeCell ref="A29:I29"/>
    <mergeCell ref="A32:I32"/>
    <mergeCell ref="A36:I36"/>
    <mergeCell ref="A11:I11"/>
    <mergeCell ref="A33:I33"/>
    <mergeCell ref="F99:N99"/>
    <mergeCell ref="A58:I58"/>
    <mergeCell ref="A72:I72"/>
    <mergeCell ref="A65:I65"/>
    <mergeCell ref="A60:I60"/>
    <mergeCell ref="A61:I61"/>
    <mergeCell ref="A62:I62"/>
    <mergeCell ref="J66:K66"/>
    <mergeCell ref="J60:K60"/>
    <mergeCell ref="J61:K61"/>
    <mergeCell ref="J58:K58"/>
    <mergeCell ref="A80:I80"/>
    <mergeCell ref="A81:I81"/>
    <mergeCell ref="J69:K69"/>
    <mergeCell ref="J62:K62"/>
    <mergeCell ref="A78:H78"/>
    <mergeCell ref="J55:K55"/>
    <mergeCell ref="A82:I82"/>
    <mergeCell ref="J53:K53"/>
    <mergeCell ref="A54:I54"/>
    <mergeCell ref="J54:K54"/>
    <mergeCell ref="A53:I53"/>
    <mergeCell ref="A70:I70"/>
    <mergeCell ref="A59:I59"/>
    <mergeCell ref="A69:I69"/>
    <mergeCell ref="A64:I64"/>
    <mergeCell ref="A56:I56"/>
    <mergeCell ref="A57:I57"/>
    <mergeCell ref="A55:I55"/>
    <mergeCell ref="A39:I39"/>
    <mergeCell ref="A50:I50"/>
    <mergeCell ref="A51:I51"/>
    <mergeCell ref="A40:I40"/>
    <mergeCell ref="A41:I41"/>
    <mergeCell ref="A42:I42"/>
    <mergeCell ref="A43:I43"/>
    <mergeCell ref="A44:I44"/>
    <mergeCell ref="A46:I46"/>
    <mergeCell ref="A47:I47"/>
  </mergeCells>
  <hyperlinks>
    <hyperlink ref="D1" location="Indice!A1" display="Indice"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18"/>
  <sheetViews>
    <sheetView showGridLines="0" workbookViewId="0">
      <selection activeCell="C1" sqref="C1"/>
    </sheetView>
  </sheetViews>
  <sheetFormatPr baseColWidth="10" defaultColWidth="11.42578125" defaultRowHeight="12"/>
  <cols>
    <col min="1" max="1" width="48.7109375" style="6" customWidth="1"/>
    <col min="2" max="2" width="0.28515625" style="6" hidden="1" customWidth="1"/>
    <col min="3" max="3" width="15.5703125" style="6" customWidth="1"/>
    <col min="4" max="4" width="14.85546875" style="6" customWidth="1"/>
    <col min="5" max="5" width="11.42578125" style="6"/>
    <col min="6" max="6" width="14.28515625" style="6" bestFit="1" customWidth="1"/>
    <col min="7" max="7" width="13.28515625" style="6" bestFit="1" customWidth="1"/>
    <col min="8" max="16384" width="11.42578125" style="6"/>
  </cols>
  <sheetData>
    <row r="1" spans="1:7" ht="18" customHeight="1">
      <c r="A1" s="217" t="str">
        <f>Indice!C1</f>
        <v>NICOLAS GONZALEZ ODDONE S.A.E.C.A</v>
      </c>
      <c r="C1" s="634" t="s">
        <v>18</v>
      </c>
      <c r="D1" s="224"/>
      <c r="E1" s="89"/>
    </row>
    <row r="3" spans="1:7" ht="17.25" customHeight="1">
      <c r="A3" s="217" t="s">
        <v>343</v>
      </c>
      <c r="B3" s="217"/>
      <c r="C3" s="217"/>
      <c r="D3" s="217"/>
    </row>
    <row r="4" spans="1:7">
      <c r="A4" s="2" t="s">
        <v>344</v>
      </c>
    </row>
    <row r="5" spans="1:7">
      <c r="A5" s="837"/>
    </row>
    <row r="6" spans="1:7" ht="12.75">
      <c r="A6" s="404" t="s">
        <v>345</v>
      </c>
      <c r="B6" s="405"/>
      <c r="C6" s="585">
        <v>44834</v>
      </c>
      <c r="D6" s="577">
        <v>44561</v>
      </c>
    </row>
    <row r="7" spans="1:7">
      <c r="A7" s="92" t="s">
        <v>346</v>
      </c>
      <c r="B7" s="91"/>
      <c r="C7" s="274">
        <v>2710487624</v>
      </c>
      <c r="D7" s="768">
        <v>4190062351</v>
      </c>
    </row>
    <row r="8" spans="1:7">
      <c r="A8" s="2" t="s">
        <v>347</v>
      </c>
      <c r="B8" s="92"/>
      <c r="C8" s="274">
        <f>7344300+5000000+14685646+223297+2726838+7308396+412935+1481000</f>
        <v>39182412</v>
      </c>
      <c r="D8" s="98">
        <v>101500000</v>
      </c>
    </row>
    <row r="9" spans="1:7">
      <c r="A9" s="2" t="s">
        <v>348</v>
      </c>
      <c r="B9" s="92"/>
      <c r="C9" s="399">
        <f>2400000+2000000+1000000</f>
        <v>5400000</v>
      </c>
      <c r="D9" s="817">
        <v>6400000</v>
      </c>
    </row>
    <row r="10" spans="1:7">
      <c r="A10" s="2"/>
      <c r="B10" s="92"/>
      <c r="C10" s="273">
        <f>SUM(C7:C9)</f>
        <v>2755070036</v>
      </c>
      <c r="D10" s="769">
        <f>SUM(D7:D9)</f>
        <v>4297962351</v>
      </c>
    </row>
    <row r="11" spans="1:7" ht="13.5">
      <c r="A11" s="2"/>
      <c r="B11" s="92"/>
      <c r="C11" s="718"/>
      <c r="D11" s="770"/>
      <c r="F11" s="98"/>
    </row>
    <row r="12" spans="1:7">
      <c r="A12" s="92" t="s">
        <v>349</v>
      </c>
      <c r="B12" s="92"/>
      <c r="C12" s="719">
        <v>19429145047</v>
      </c>
      <c r="D12" s="770">
        <v>3744392505</v>
      </c>
    </row>
    <row r="13" spans="1:7">
      <c r="A13" s="92" t="s">
        <v>350</v>
      </c>
      <c r="B13" s="92"/>
      <c r="C13" s="719">
        <v>0</v>
      </c>
      <c r="D13" s="770">
        <v>37032161355</v>
      </c>
    </row>
    <row r="14" spans="1:7">
      <c r="A14" s="92" t="s">
        <v>351</v>
      </c>
      <c r="B14" s="92"/>
      <c r="C14" s="719">
        <v>1069064798</v>
      </c>
      <c r="D14" s="770">
        <v>19052025325</v>
      </c>
    </row>
    <row r="15" spans="1:7" hidden="1">
      <c r="A15" s="93" t="s">
        <v>352</v>
      </c>
      <c r="B15" s="92"/>
      <c r="C15" s="719">
        <v>0</v>
      </c>
      <c r="D15" s="770">
        <v>0</v>
      </c>
      <c r="G15" s="98"/>
    </row>
    <row r="16" spans="1:7">
      <c r="A16" s="93"/>
      <c r="B16" s="92"/>
      <c r="C16" s="717">
        <f>SUM(C12:C15)</f>
        <v>20498209845</v>
      </c>
      <c r="D16" s="769">
        <f>SUM(D12:D15)</f>
        <v>59828579185</v>
      </c>
      <c r="F16" s="98"/>
    </row>
    <row r="17" spans="1:4" ht="12.75" thickBot="1">
      <c r="A17" s="93" t="s">
        <v>353</v>
      </c>
      <c r="B17" s="93"/>
      <c r="C17" s="838">
        <f>+C10+C16</f>
        <v>23253279881</v>
      </c>
      <c r="D17" s="839">
        <f>+D10+D16</f>
        <v>64126541536</v>
      </c>
    </row>
    <row r="18" spans="1:4" ht="12.75" thickTop="1"/>
  </sheetData>
  <hyperlinks>
    <hyperlink ref="C1" location="BG!A1" display="BG" xr:uid="{D024C715-FD13-4A1A-9F6C-72E0BE722342}"/>
  </hyperlinks>
  <pageMargins left="0.70866141732283472" right="0.70866141732283472" top="0.74803149606299213" bottom="0.74803149606299213" header="0.31496062992125984" footer="0.31496062992125984"/>
  <pageSetup paperSize="5" scale="80" orientation="portrait" r:id="rId1"/>
  <ignoredErrors>
    <ignoredError sqref="D10" formulaRange="1"/>
  </ignoredError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1YYQmirILjbwaqjHQ8K8NYDX1HSMxLByTYbloKwYRtU=</DigestValue>
    </Reference>
    <Reference Type="http://www.w3.org/2000/09/xmldsig#Object" URI="#idOfficeObject">
      <DigestMethod Algorithm="http://www.w3.org/2001/04/xmlenc#sha256"/>
      <DigestValue>0nlkI3eXGKhKvyz0d2keG3EF20Nb2bpf9+DBpgTLmUc=</DigestValue>
    </Reference>
    <Reference Type="http://uri.etsi.org/01903#SignedProperties" URI="#idSignedProperties">
      <Transforms>
        <Transform Algorithm="http://www.w3.org/TR/2001/REC-xml-c14n-20010315"/>
      </Transforms>
      <DigestMethod Algorithm="http://www.w3.org/2001/04/xmlenc#sha256"/>
      <DigestValue>HbQEgth20T3Xsdazf3i3e4QMOP27xSXbhDK7wJkH10s=</DigestValue>
    </Reference>
    <Reference Type="http://www.w3.org/2000/09/xmldsig#Object" URI="#idValidSigLnImg">
      <DigestMethod Algorithm="http://www.w3.org/2001/04/xmlenc#sha256"/>
      <DigestValue>oSsRjCwXAln15JRCO+dCT1BJGdCm2nJCaYpFiHm5Z+g=</DigestValue>
    </Reference>
    <Reference Type="http://www.w3.org/2000/09/xmldsig#Object" URI="#idInvalidSigLnImg">
      <DigestMethod Algorithm="http://www.w3.org/2001/04/xmlenc#sha256"/>
      <DigestValue>JYwCdusuBsEroBU97yS0nsJiLkpMdhLKY1iQlrJDTrQ=</DigestValue>
    </Reference>
  </SignedInfo>
  <SignatureValue>M/zo2p6poDh6cIpLafyvOYSdvE0BtM4UEa4smYHTXkF8VkojW2n36YUaNW2eg7n5CccQUuCAysX6
+yMVPkj4OJvuBbpFbneff176IeTNeFYb8te6/MyglPkjM+avazw0oEBtFx89D2W7L0cuFM7F4f6o
s3IjGGtkRYBFtalYX0tXhhdSa1kMBHU+RPeX7Gzp8Hm21iut1jqTTscijjgM5Rt5qdkTiC57o8FS
amNIVbmLy7RT1ley1dJ5+lquJ3Qn4q+OlGFhxuoY6hnc/yiqkiBWmblpbdobI/uTHyBgpz/TNlzS
G+FD1MA5xVL1hxAJbMTil+9ypb1jnrexXVT2ng==</SignatureValue>
  <KeyInfo>
    <X509Data>
      <X509Certificate>MIID8jCCAtqgAwIBAgIQLHIxIUX3caZIJnBJSD8IzDANBgkqhkiG9w0BAQsFADB4MXYwEQYKCZImiZPyLGQBGRYDbmV0MBUGCgmSJomT8ixkARkWB3dpbmRvd3MwHQYDVQQDExZNUy1Pcmdhbml6YXRpb24tQWNjZXNzMCsGA1UECxMkODJkYmFjYTQtM2U4MS00NmNhLTljNzMtMDk1MGMxZWFjYTk3MB4XDTIyMTAxMTE5MDI0OFoXDTMyMTAxMTE5MzI0OFowLzEtMCsGA1UEAxMkM2I0MTRiMmQtNWY5Yi00NTFhLTgzZDMtMGFlNWY4YTAwMDc2MIIBIjANBgkqhkiG9w0BAQEFAAOCAQ8AMIIBCgKCAQEAvvmm03s04/895KAhaJLw9k9xepl3afdTVnOlQtPaCBWU7KFugoN4VJrmvfvAA4ldYai7iN4QaKvb6YGD5eJX2nVud54hFBH5rzY6RflC3c+SPkpHMlQ3fHQPCQckcV6kW2pLM84e3hZFDSmiBkNgrfj+dQVLzCN1iK0BA/tagOH1mdDr6xJxXVPSHKgUzU0Sjp1VfzQAPpNselFjxMsz3tbcxCSH0bTdB12nUC6jJ1k/8G29b8nNJshej+LXYOBUt4x/nb26Pkqy29CQSQ5jYBLikI3Wg6uoAYst1Y98OhfVmRM2hyTAb5kSSA76gakzxg/oS9gEoEGwzccU6CPaowIDAQABo4HAMIG9MAwGA1UdEwEB/wQCMAAwFgYDVR0lAQH/BAwwCgYIKwYBBQUHAwIwIgYLKoZIhvcUAQWCHAIEEwSBEC1LQTubXxpFg9MK5figAHYwIgYLKoZIhvcUAQWCHAMEEwSBEGWiweqs5VRJlUYZklWpx0QwIgYLKoZIhvcUAQWCHAUEEwSBEEyqIE4vgLdGpdoKUwxzDXAwFAYLKoZIhvcUAQWCHAgEBQSBAlNBMBMGCyqGSIb3FAEFghwHBAQEgQEwMA0GCSqGSIb3DQEBCwUAA4IBAQBJVKCbNzeGaUh4D+7ObrjVbgXpAdaJ1Cx/xXTcDR38tkqxwDPrvLaYiWpvXpOZiD5sfBisE9SVWqPRrSp9aMBJNlqmy1/5mj3OBm4O/s7FnrPrOyf46KDNetaEMjZWDY+gWGNGSjMu8wRPpYb6iLFjbng3iCJC3qWJuq5lnxn4gv9+HE0kQJjGLGkZtuh7x9EG/7st4uub2zHKfZUMgRBjc+wkbtmtcrN/JyO4RQEaaIt1uqGd7+OgTsAgmJ7WtkhWzaDA71CeogEYloWdRKggkThxbw+qWRyE/9amUXBUkG/EMiXEURArxntenbKTmFI82YUsXVZ8ZrsL4e1Do93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v2UOAFhrzq6YoxpQRtXYtV5wfR4EiRb4vfpDC92scNQ=</DigestValue>
      </Reference>
      <Reference URI="/xl/calcChain.xml?ContentType=application/vnd.openxmlformats-officedocument.spreadsheetml.calcChain+xml">
        <DigestMethod Algorithm="http://www.w3.org/2001/04/xmlenc#sha256"/>
        <DigestValue>1NwUbDvSYCDh7NqlsnOdaoQ0yuxTNw5z1hLTsQY6uQY=</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gbnhUu4zOjfeLhV+WqXLHYfjBViAAep/iW9WZiAGPqk=</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wuJgA0hB+FGaTP6P0oNqbkl2WN3y0aRJPBr2REhnye0=</DigestValue>
      </Reference>
      <Reference URI="/xl/drawings/vmlDrawing1.vml?ContentType=application/vnd.openxmlformats-officedocument.vmlDrawing">
        <DigestMethod Algorithm="http://www.w3.org/2001/04/xmlenc#sha256"/>
        <DigestValue>2DdknfiZLO/miL9Fl90KHwStvYKp2WlPrjRbKhiX9oo=</DigestValue>
      </Reference>
      <Reference URI="/xl/drawings/vmlDrawing2.vml?ContentType=application/vnd.openxmlformats-officedocument.vmlDrawing">
        <DigestMethod Algorithm="http://www.w3.org/2001/04/xmlenc#sha256"/>
        <DigestValue>94MImpNHRCuq9UAEN+mu1CltqmWzLfAg6EFUryTjJOE=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externalLink1.xml?ContentType=application/vnd.openxmlformats-officedocument.spreadsheetml.externalLink+xml">
        <DigestMethod Algorithm="http://www.w3.org/2001/04/xmlenc#sha256"/>
        <DigestValue>hWTuaJSK7DUyr35svTGvjY3QMhT6KW6ivYs9GaQ+/S0=</DigestValue>
      </Reference>
      <Reference URI="/xl/externalLinks/externalLink2.xml?ContentType=application/vnd.openxmlformats-officedocument.spreadsheetml.externalLink+xml">
        <DigestMethod Algorithm="http://www.w3.org/2001/04/xmlenc#sha256"/>
        <DigestValue>T4f91FKrHvpGs22B7L6etTzcfW8nCklbXXR+vqY5Sag=</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Xgd2FFhBGqr200URkJUxR4tzO/cgh6LQiyjoOBGYPZ4=</DigestValue>
      </Reference>
      <Reference URI="/xl/media/image3.emf?ContentType=image/x-emf">
        <DigestMethod Algorithm="http://www.w3.org/2001/04/xmlenc#sha256"/>
        <DigestValue>FpKXGOzPrmrErPuPjIxJOvj8Lh1JHeyCU0Nq6SZnS64=</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TgIMx8QDwNRGu7tu2cr4WMu+E1qBIttbvwHqwHhzmd0=</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6ahAHQzavVm87/rE5X9no3ddnTEz3fbhGTBvAAcAjoo=</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hCwrwQFzcu/nypR+X5v9EidCH4O0kBbUsHQJ/Y5rTbE=</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N463sb7HqCoPUT5eIqWMR2Jm5dqh14E/BxEIrKEWUYc=</DigestValue>
      </Reference>
      <Reference URI="/xl/printerSettings/printerSettings33.bin?ContentType=application/vnd.openxmlformats-officedocument.spreadsheetml.printerSettings">
        <DigestMethod Algorithm="http://www.w3.org/2001/04/xmlenc#sha256"/>
        <DigestValue>CPmghBcq8M3AOC7OD9E4RGQCJ4N82avzjW2vuKZebXA=</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1geCLZPmYopQqajWiusk5/q1VoeMFXzHw7Pt8MnxM4k=</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67ZYybaMdjhI5UrcHvIS96Skg5nNMe+dGUkGxpf3l6k=</DigestValue>
      </Reference>
      <Reference URI="/xl/styles.xml?ContentType=application/vnd.openxmlformats-officedocument.spreadsheetml.styles+xml">
        <DigestMethod Algorithm="http://www.w3.org/2001/04/xmlenc#sha256"/>
        <DigestValue>3Yx2JnLnWw57fYDhKzzW/KAxetkY1c1PnT+0GwPmHjw=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VY0ml/Yr4aJqBVQed//FKqAyxCpiLFc7xpAEvbhhp7c=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3VinKOkYdTzGkWOmThBRr8r1s/4+nVYsXUjgQnsEsZU=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3RaW0wv3Qo8pwCamawk3gOwoU0mCbjOrh4jUhVpsp7A=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Iknv5OrsI3Za9rNyTdbGSgccJtVUnNyCtVpt/kPU9is=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jCkKqNV3puRXjrJWKVAZnawm8xCCqoffbQOYVHZOpEk=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0NwMx5bFeGvriu9lYvvtNo4F40cDIeOHRwSZdVJjqUA=</DigestValue>
      </Reference>
      <Reference URI="/xl/worksheets/sheet10.xml?ContentType=application/vnd.openxmlformats-officedocument.spreadsheetml.worksheet+xml">
        <DigestMethod Algorithm="http://www.w3.org/2001/04/xmlenc#sha256"/>
        <DigestValue>du7oBkpw8GEsxiKNX8cd0iHaqZvUXIA1oM+3VPi5kJ0=</DigestValue>
      </Reference>
      <Reference URI="/xl/worksheets/sheet11.xml?ContentType=application/vnd.openxmlformats-officedocument.spreadsheetml.worksheet+xml">
        <DigestMethod Algorithm="http://www.w3.org/2001/04/xmlenc#sha256"/>
        <DigestValue>CHixEJkS/8/UOc1G4ea1Y7fPurz/TQkOY2ok393l3/c=</DigestValue>
      </Reference>
      <Reference URI="/xl/worksheets/sheet12.xml?ContentType=application/vnd.openxmlformats-officedocument.spreadsheetml.worksheet+xml">
        <DigestMethod Algorithm="http://www.w3.org/2001/04/xmlenc#sha256"/>
        <DigestValue>d2f6nUx7cA8bXqQh9wKCLN391aygBQetUe2I+4yCfng=</DigestValue>
      </Reference>
      <Reference URI="/xl/worksheets/sheet13.xml?ContentType=application/vnd.openxmlformats-officedocument.spreadsheetml.worksheet+xml">
        <DigestMethod Algorithm="http://www.w3.org/2001/04/xmlenc#sha256"/>
        <DigestValue>CJWF/v6bCWZIMQjQki1b6VF6zRwPTWIv8AFtdpvmoVU=</DigestValue>
      </Reference>
      <Reference URI="/xl/worksheets/sheet14.xml?ContentType=application/vnd.openxmlformats-officedocument.spreadsheetml.worksheet+xml">
        <DigestMethod Algorithm="http://www.w3.org/2001/04/xmlenc#sha256"/>
        <DigestValue>8JBt1GgRphHZnGcTPCMOffDkoaLo5tRdXRmx7tUnqU8=</DigestValue>
      </Reference>
      <Reference URI="/xl/worksheets/sheet15.xml?ContentType=application/vnd.openxmlformats-officedocument.spreadsheetml.worksheet+xml">
        <DigestMethod Algorithm="http://www.w3.org/2001/04/xmlenc#sha256"/>
        <DigestValue>QJhtKjC8EtJzPPRCxtjoKk4yVRvhg9ZfCRPHTaBkC0I=</DigestValue>
      </Reference>
      <Reference URI="/xl/worksheets/sheet16.xml?ContentType=application/vnd.openxmlformats-officedocument.spreadsheetml.worksheet+xml">
        <DigestMethod Algorithm="http://www.w3.org/2001/04/xmlenc#sha256"/>
        <DigestValue>nXxCCRFeS7ppyrRqSsw29ft/qoqUaxnaecfrP1sficU=</DigestValue>
      </Reference>
      <Reference URI="/xl/worksheets/sheet17.xml?ContentType=application/vnd.openxmlformats-officedocument.spreadsheetml.worksheet+xml">
        <DigestMethod Algorithm="http://www.w3.org/2001/04/xmlenc#sha256"/>
        <DigestValue>Bf1LOrY8RdtvIsk/rc5diBVPJVI2D6WvBo3mx0israw=</DigestValue>
      </Reference>
      <Reference URI="/xl/worksheets/sheet18.xml?ContentType=application/vnd.openxmlformats-officedocument.spreadsheetml.worksheet+xml">
        <DigestMethod Algorithm="http://www.w3.org/2001/04/xmlenc#sha256"/>
        <DigestValue>ZZE16W2t8ggV+K7RrqbKj0uG3PyeNDsr3Xzj6BEWQSw=</DigestValue>
      </Reference>
      <Reference URI="/xl/worksheets/sheet19.xml?ContentType=application/vnd.openxmlformats-officedocument.spreadsheetml.worksheet+xml">
        <DigestMethod Algorithm="http://www.w3.org/2001/04/xmlenc#sha256"/>
        <DigestValue>1HftQOSEdNJW8s/pTbLOJmLCkQTlqbWR8/z1+DROVDM=</DigestValue>
      </Reference>
      <Reference URI="/xl/worksheets/sheet2.xml?ContentType=application/vnd.openxmlformats-officedocument.spreadsheetml.worksheet+xml">
        <DigestMethod Algorithm="http://www.w3.org/2001/04/xmlenc#sha256"/>
        <DigestValue>Wpo+N9gPbkBY0ugX69VvSG73FfCQsXf+VEBImFmaB+4=</DigestValue>
      </Reference>
      <Reference URI="/xl/worksheets/sheet20.xml?ContentType=application/vnd.openxmlformats-officedocument.spreadsheetml.worksheet+xml">
        <DigestMethod Algorithm="http://www.w3.org/2001/04/xmlenc#sha256"/>
        <DigestValue>iDFQkK8K/dCw8ea+pQ6dUEOG5iHZcJYNvQmDjwCOFFk=</DigestValue>
      </Reference>
      <Reference URI="/xl/worksheets/sheet21.xml?ContentType=application/vnd.openxmlformats-officedocument.spreadsheetml.worksheet+xml">
        <DigestMethod Algorithm="http://www.w3.org/2001/04/xmlenc#sha256"/>
        <DigestValue>0fh3L0/I5ypb/oAF8he48ZRPYvK8/xAjlzbPOgoxyig=</DigestValue>
      </Reference>
      <Reference URI="/xl/worksheets/sheet22.xml?ContentType=application/vnd.openxmlformats-officedocument.spreadsheetml.worksheet+xml">
        <DigestMethod Algorithm="http://www.w3.org/2001/04/xmlenc#sha256"/>
        <DigestValue>I89MuxVJ/qR41R8xyCwHLiBsTTFWLtLRh2FFK8uTwVY=</DigestValue>
      </Reference>
      <Reference URI="/xl/worksheets/sheet23.xml?ContentType=application/vnd.openxmlformats-officedocument.spreadsheetml.worksheet+xml">
        <DigestMethod Algorithm="http://www.w3.org/2001/04/xmlenc#sha256"/>
        <DigestValue>cvUcsKugc+uBZnVlhl/bqHenKCZKVItHjipaI7bBq/w=</DigestValue>
      </Reference>
      <Reference URI="/xl/worksheets/sheet24.xml?ContentType=application/vnd.openxmlformats-officedocument.spreadsheetml.worksheet+xml">
        <DigestMethod Algorithm="http://www.w3.org/2001/04/xmlenc#sha256"/>
        <DigestValue>4tmIx2Xasb+DVzE2Q/8JFcQxnRJF3WZ1fFD14S/7Hng=</DigestValue>
      </Reference>
      <Reference URI="/xl/worksheets/sheet25.xml?ContentType=application/vnd.openxmlformats-officedocument.spreadsheetml.worksheet+xml">
        <DigestMethod Algorithm="http://www.w3.org/2001/04/xmlenc#sha256"/>
        <DigestValue>M6AkVfR/smh7JXnLyY5im0r4vK25yStJm1feKrPFBhs=</DigestValue>
      </Reference>
      <Reference URI="/xl/worksheets/sheet26.xml?ContentType=application/vnd.openxmlformats-officedocument.spreadsheetml.worksheet+xml">
        <DigestMethod Algorithm="http://www.w3.org/2001/04/xmlenc#sha256"/>
        <DigestValue>aViekH+fJtEUXEYJN+I8yVrwdKr2xAj5R85iuMz1tLI=</DigestValue>
      </Reference>
      <Reference URI="/xl/worksheets/sheet27.xml?ContentType=application/vnd.openxmlformats-officedocument.spreadsheetml.worksheet+xml">
        <DigestMethod Algorithm="http://www.w3.org/2001/04/xmlenc#sha256"/>
        <DigestValue>gUrTvQqa2XQqMATn8MzmNZoqgaREqAVx/OsUPSTZyeI=</DigestValue>
      </Reference>
      <Reference URI="/xl/worksheets/sheet28.xml?ContentType=application/vnd.openxmlformats-officedocument.spreadsheetml.worksheet+xml">
        <DigestMethod Algorithm="http://www.w3.org/2001/04/xmlenc#sha256"/>
        <DigestValue>DShDCRMSE2BFZiG2WfROB3byABAaQ+7nG/seRoeTArA=</DigestValue>
      </Reference>
      <Reference URI="/xl/worksheets/sheet29.xml?ContentType=application/vnd.openxmlformats-officedocument.spreadsheetml.worksheet+xml">
        <DigestMethod Algorithm="http://www.w3.org/2001/04/xmlenc#sha256"/>
        <DigestValue>NzlryhQ1ll5tvZ8LO849PFfq9waXxEstx58TLWP//k4=</DigestValue>
      </Reference>
      <Reference URI="/xl/worksheets/sheet3.xml?ContentType=application/vnd.openxmlformats-officedocument.spreadsheetml.worksheet+xml">
        <DigestMethod Algorithm="http://www.w3.org/2001/04/xmlenc#sha256"/>
        <DigestValue>voxQ6/6iNg4MAGbmlcqFbUC6NB8I11UyS3H8wlq+mc8=</DigestValue>
      </Reference>
      <Reference URI="/xl/worksheets/sheet30.xml?ContentType=application/vnd.openxmlformats-officedocument.spreadsheetml.worksheet+xml">
        <DigestMethod Algorithm="http://www.w3.org/2001/04/xmlenc#sha256"/>
        <DigestValue>lTjt9UA0tmYTtlTkLloq3G9OTw1tPAU1nVY/ueyP7PI=</DigestValue>
      </Reference>
      <Reference URI="/xl/worksheets/sheet31.xml?ContentType=application/vnd.openxmlformats-officedocument.spreadsheetml.worksheet+xml">
        <DigestMethod Algorithm="http://www.w3.org/2001/04/xmlenc#sha256"/>
        <DigestValue>XvYgEFI+ZFb0kkflWGj6ZBto8jtXIcQis4HfuYcqxSE=</DigestValue>
      </Reference>
      <Reference URI="/xl/worksheets/sheet32.xml?ContentType=application/vnd.openxmlformats-officedocument.spreadsheetml.worksheet+xml">
        <DigestMethod Algorithm="http://www.w3.org/2001/04/xmlenc#sha256"/>
        <DigestValue>9mqoT1o6emvhC69oU0v0TCXr69/k8Y/1C80mGyibb08=</DigestValue>
      </Reference>
      <Reference URI="/xl/worksheets/sheet33.xml?ContentType=application/vnd.openxmlformats-officedocument.spreadsheetml.worksheet+xml">
        <DigestMethod Algorithm="http://www.w3.org/2001/04/xmlenc#sha256"/>
        <DigestValue>7bFXXyZVM8LnQ5LzXP0HIsehVWUCxUaYXBivzLGUsao=</DigestValue>
      </Reference>
      <Reference URI="/xl/worksheets/sheet34.xml?ContentType=application/vnd.openxmlformats-officedocument.spreadsheetml.worksheet+xml">
        <DigestMethod Algorithm="http://www.w3.org/2001/04/xmlenc#sha256"/>
        <DigestValue>PBtMTZ+N64SD/iBe8YOy92VQgP+CobvSzfgCC0FfxRY=</DigestValue>
      </Reference>
      <Reference URI="/xl/worksheets/sheet35.xml?ContentType=application/vnd.openxmlformats-officedocument.spreadsheetml.worksheet+xml">
        <DigestMethod Algorithm="http://www.w3.org/2001/04/xmlenc#sha256"/>
        <DigestValue>TwGu1dUYu4Cr3DnTQKQ4BrDuiqovRpk/v3EHf4UpzB8=</DigestValue>
      </Reference>
      <Reference URI="/xl/worksheets/sheet36.xml?ContentType=application/vnd.openxmlformats-officedocument.spreadsheetml.worksheet+xml">
        <DigestMethod Algorithm="http://www.w3.org/2001/04/xmlenc#sha256"/>
        <DigestValue>rFH+hDxGPx+Az/sQuU5jUDYYrVsUP4UUCYDxaGojldU=</DigestValue>
      </Reference>
      <Reference URI="/xl/worksheets/sheet37.xml?ContentType=application/vnd.openxmlformats-officedocument.spreadsheetml.worksheet+xml">
        <DigestMethod Algorithm="http://www.w3.org/2001/04/xmlenc#sha256"/>
        <DigestValue>MUlwS8JUdWu1lfW3eU5OcxPX1tkOg2pRVnP3UOOu+oM=</DigestValue>
      </Reference>
      <Reference URI="/xl/worksheets/sheet38.xml?ContentType=application/vnd.openxmlformats-officedocument.spreadsheetml.worksheet+xml">
        <DigestMethod Algorithm="http://www.w3.org/2001/04/xmlenc#sha256"/>
        <DigestValue>dtXiF8w9oH0be4Vn1If3jOrS4ik/COzEdz5/D++v5DI=</DigestValue>
      </Reference>
      <Reference URI="/xl/worksheets/sheet39.xml?ContentType=application/vnd.openxmlformats-officedocument.spreadsheetml.worksheet+xml">
        <DigestMethod Algorithm="http://www.w3.org/2001/04/xmlenc#sha256"/>
        <DigestValue>h9Haz6I8nAcz/evNm3AHH88AJHumK64MtsTk/u0wMNk=</DigestValue>
      </Reference>
      <Reference URI="/xl/worksheets/sheet4.xml?ContentType=application/vnd.openxmlformats-officedocument.spreadsheetml.worksheet+xml">
        <DigestMethod Algorithm="http://www.w3.org/2001/04/xmlenc#sha256"/>
        <DigestValue>BBYk0rvx7LssmLdb52L+7oDDiv8ZBOnJNqbP6icANaw=</DigestValue>
      </Reference>
      <Reference URI="/xl/worksheets/sheet40.xml?ContentType=application/vnd.openxmlformats-officedocument.spreadsheetml.worksheet+xml">
        <DigestMethod Algorithm="http://www.w3.org/2001/04/xmlenc#sha256"/>
        <DigestValue>gOCAKmpi/yIdkFAAqp+99hv45X/g2HF0k0zp/GmlQU4=</DigestValue>
      </Reference>
      <Reference URI="/xl/worksheets/sheet41.xml?ContentType=application/vnd.openxmlformats-officedocument.spreadsheetml.worksheet+xml">
        <DigestMethod Algorithm="http://www.w3.org/2001/04/xmlenc#sha256"/>
        <DigestValue>n+u48kAcvs0Svc1GnDtkGye/B2Eq09Iwftt8NHdG7w0=</DigestValue>
      </Reference>
      <Reference URI="/xl/worksheets/sheet42.xml?ContentType=application/vnd.openxmlformats-officedocument.spreadsheetml.worksheet+xml">
        <DigestMethod Algorithm="http://www.w3.org/2001/04/xmlenc#sha256"/>
        <DigestValue>VBv1NAbJwdXlcdZsqQuBd1PnDjHpXirLMxV5l4c9jho=</DigestValue>
      </Reference>
      <Reference URI="/xl/worksheets/sheet43.xml?ContentType=application/vnd.openxmlformats-officedocument.spreadsheetml.worksheet+xml">
        <DigestMethod Algorithm="http://www.w3.org/2001/04/xmlenc#sha256"/>
        <DigestValue>IF07wf4E86U1TIiutIIya04uSWoOwLd+DFDXfNsfFOc=</DigestValue>
      </Reference>
      <Reference URI="/xl/worksheets/sheet44.xml?ContentType=application/vnd.openxmlformats-officedocument.spreadsheetml.worksheet+xml">
        <DigestMethod Algorithm="http://www.w3.org/2001/04/xmlenc#sha256"/>
        <DigestValue>OJ9a4sIvXGQrtXqNcp67YTJ6yhzDQFNtZdj0eph+V/k=</DigestValue>
      </Reference>
      <Reference URI="/xl/worksheets/sheet45.xml?ContentType=application/vnd.openxmlformats-officedocument.spreadsheetml.worksheet+xml">
        <DigestMethod Algorithm="http://www.w3.org/2001/04/xmlenc#sha256"/>
        <DigestValue>6LTgcwO0zZ7jlo4BGeGT1jkpYbUWzyNvwNrv61Xjy1Q=</DigestValue>
      </Reference>
      <Reference URI="/xl/worksheets/sheet46.xml?ContentType=application/vnd.openxmlformats-officedocument.spreadsheetml.worksheet+xml">
        <DigestMethod Algorithm="http://www.w3.org/2001/04/xmlenc#sha256"/>
        <DigestValue>FcmyPSL7JLX7I71RfmmfPoKGU9k54+9QgrlW9B/4N/A=</DigestValue>
      </Reference>
      <Reference URI="/xl/worksheets/sheet47.xml?ContentType=application/vnd.openxmlformats-officedocument.spreadsheetml.worksheet+xml">
        <DigestMethod Algorithm="http://www.w3.org/2001/04/xmlenc#sha256"/>
        <DigestValue>2hYunVa5tNiiLSL0zw3ntMGS9RGC6xtNmCMtYVNldlc=</DigestValue>
      </Reference>
      <Reference URI="/xl/worksheets/sheet48.xml?ContentType=application/vnd.openxmlformats-officedocument.spreadsheetml.worksheet+xml">
        <DigestMethod Algorithm="http://www.w3.org/2001/04/xmlenc#sha256"/>
        <DigestValue>lEfbu6uIWXmvA0dYWjOIt4dIxv6blBN8FrNdS0NpGJE=</DigestValue>
      </Reference>
      <Reference URI="/xl/worksheets/sheet5.xml?ContentType=application/vnd.openxmlformats-officedocument.spreadsheetml.worksheet+xml">
        <DigestMethod Algorithm="http://www.w3.org/2001/04/xmlenc#sha256"/>
        <DigestValue>XbOG/FzE761tCswOErKeK6lF1HqXEgHs8SjytbcSpOA=</DigestValue>
      </Reference>
      <Reference URI="/xl/worksheets/sheet6.xml?ContentType=application/vnd.openxmlformats-officedocument.spreadsheetml.worksheet+xml">
        <DigestMethod Algorithm="http://www.w3.org/2001/04/xmlenc#sha256"/>
        <DigestValue>PpNmpeyh0y9yPHejnmm3EwHscRgHnN4LTJPRNWL1/Co=</DigestValue>
      </Reference>
      <Reference URI="/xl/worksheets/sheet7.xml?ContentType=application/vnd.openxmlformats-officedocument.spreadsheetml.worksheet+xml">
        <DigestMethod Algorithm="http://www.w3.org/2001/04/xmlenc#sha256"/>
        <DigestValue>eixYZzAm13RJPk+DS0MDwxQqxbP+Mbd7PIGeNeNwIgs=</DigestValue>
      </Reference>
      <Reference URI="/xl/worksheets/sheet8.xml?ContentType=application/vnd.openxmlformats-officedocument.spreadsheetml.worksheet+xml">
        <DigestMethod Algorithm="http://www.w3.org/2001/04/xmlenc#sha256"/>
        <DigestValue>kALVBto+u5kGD6bqmIGJdagffRO0xMjAdGkCk82o1oo=</DigestValue>
      </Reference>
      <Reference URI="/xl/worksheets/sheet9.xml?ContentType=application/vnd.openxmlformats-officedocument.spreadsheetml.worksheet+xml">
        <DigestMethod Algorithm="http://www.w3.org/2001/04/xmlenc#sha256"/>
        <DigestValue>z6tA8j7NOI7hTjH+Z2Fzs7KP7HhQUQAuEDB4LN1CPQA=</DigestValue>
      </Reference>
    </Manifest>
    <SignatureProperties>
      <SignatureProperty Id="idSignatureTime" Target="#idPackageSignature">
        <mdssi:SignatureTime xmlns:mdssi="http://schemas.openxmlformats.org/package/2006/digital-signature">
          <mdssi:Format>YYYY-MM-DDThh:mm:ssTZD</mdssi:Format>
          <mdssi:Value>2022-11-10T12:44:41Z</mdssi:Value>
        </mdssi:SignatureTime>
      </SignatureProperty>
    </SignatureProperties>
  </Object>
  <Object Id="idOfficeObject">
    <SignatureProperties>
      <SignatureProperty Id="idOfficeV1Details" Target="#idPackageSignature">
        <SignatureInfoV1 xmlns="http://schemas.microsoft.com/office/2006/digsig">
          <SetupID>{890DB7B4-7D17-4EC8-B24A-9E5D02FB9CAD}</SetupID>
          <SignatureText>NICOLAS GONZALEZ</SignatureText>
          <SignatureImage/>
          <SignatureComments/>
          <WindowsVersion>10.0</WindowsVersion>
          <OfficeVersion>16.0.15726/23</OfficeVersion>
          <ApplicationVersion>16.0.15726</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2022-11-10T12:44:41Z</xd:SigningTime>
          <xd:SigningCertificate>
            <xd:Cert>
              <xd:CertDigest>
                <DigestMethod Algorithm="http://www.w3.org/2001/04/xmlenc#sha256"/>
                <DigestValue>tZk7NC7nsHjXcNo3YDi1JkAqS5scqtd6ZKmU1KWaZSU=</DigestValue>
              </xd:CertDigest>
              <xd:IssuerSerial>
                <X509IssuerName>DC=net + DC=windows + CN=MS-Organization-Access + OU=82dbaca4-3e81-46ca-9c73-0950c1eaca97</X509IssuerName>
                <X509SerialNumber>59078950130662817709882571169879492812</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8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By2+38AAADgHLb7fwAAEwAAAAAAAAAAADUu/H8AAIUob7X7fwAAMBY1Lvx/AAATAAAAAAAAAOAWAAAAAAAAQAAAwPt/AAAAADUu/H8AAFUrb7X7fwAABAAAAAAAAAAwFjUu/H8AACC1/mw6AAAAEwAAAAAAAABIAAAAAAAAAGQc/7X7fwAAoOMctvt/AADAIP+1+38AAAEAAAAAAAAASEb/tft/AAAAADUu/H8AAAAAAAAAAAAAAAAAADoAAAD//////////yAdTc53AQAAu6ZuLPx/AADwtf5sOgAAAIm2/mw6AAAAAAAAAAAAAAAAAAAAZHYACAAAAAAlAAAADAAAAAEAAAAYAAAADAAAAAAAAAASAAAADAAAAAEAAAAeAAAAGAAAAL0AAAAEAAAA9wAAABEAAAAlAAAADAAAAAEAAABUAAAAiAAAAL4AAAAEAAAA9QAAABAAAAABAAAA0XbJQasKyUG+AAAABAAAAAoAAABMAAAAAAAAAAAAAAAAAAAA//////////9gAAAAMQAwAC8AMQAxAC8AMgAwADIAMgAGAAAABgAAAAQAAAAGAAAABgAAAAQAAAAGAAAABgAAAAYAAAAGAAAASwAAAEAAAAAwAAAABQAAACAAAAABAAAAAQAAABAAAAAAAAAAAAAAACoBAACAAAAAAAAAAAAAAAAqAQAAgAAAAFIAAABwAQAAAgAAABAAAAAHAAAAAAAAAAAAAAC8AgAAAAAAAAECAiJTAHkAcwB0AGUAbQAAAAAAAAAAAAAAAAAAAAAAAAAAAAAAAAAAAAAAAAAAAAAAAAAAAAAAAAAAAAAAAAAAAAAAAAAAAAEAAAB3AQAAuNT+bDoAAAAAX6HZdwEAAIi+kSz8fwAAAAAAAAAAAAAJAAAAAAAAAAAAAAAAAAAAyCpvtft/AAAAAAAAAAAAAAAAAAAAAAAAPz2Zce0fAAA41v5sOgAAAFCOodl3AQAAACVTzncBAAAgHU3OdwEAAGDX/mwAAAAAAAAAAAAAAAAHAAAAAAAAAOh05eB3AQAAnNb+bDoAAADZ1v5sOgAAAIG3aiz8fwAAMNb+bDoAAAAw1v5sAAAAAAAAV7X7fwAAAOActvt/AAAgHU3OdwEAALumbiz8fwAAQNb+bDoAAADZ1v5sOgAAAJC6NOJ3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3itPt/AACJjFy0+38AAAAAAAD7fwAAiL6RLPx/AAAAAAAAAAAAAJBb4rT7fwAAAQAAAAAAAAAg4+K0+38AAAAAAAAAAAAAAAAAAAAAAAD/TJlx7R8AAGGk/mw6AAAAEPE0+3cBAADg////AAAAACAdTc53AQAAOKb+bAAAAAAAAAAAAAAAAAYAAAAAAAAAIAAAAAAAAABcpf5sOgAAAJml/mw6AAAAgbdqLPx/AADAA2fLdwEAAAAAAAAAAAAAwKX+bDoAAAA8hSG2+38AACAdTc53AQAAu6ZuLPx/AAAApf5sOgAAAJml/mw6AAAAQNF/9XcB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AAAAAAAAAAAAgAAAD/////2PPitPt/AACIvpEs/H8AAAAAAAAAAAAAkIDc+ncBAACQgNz6dwEAAAAAAAAAAAAAAAAAAAAAAAAAAAAAAAAAAD9MmXHtHwAAtnJTtPt/AADY8+K0+38AAPD///8AAAAAIB1NzncBAAB4pv5sAAAAAAAAAAAAAAAACQAAAAAAAAAgAAAAAAAAAJyl/mw6AAAA2aX+bDoAAACBt2os/H8AANjz4rT7fwAA2PPitAAAAAAIAAAAAAEAAAAAAAAAAAAAIB1NzncBAAC7pm4s/H8AAECl/mw6AAAA2aX+bDoAAACA+ifndwEAAAAAAABkdgAIAAAAACUAAAAMAAAABAAAABgAAAAMAAAAAAAAABIAAAAMAAAAAQAAAB4AAAAYAAAAKQAAADMAAAC/AAAASAAAACUAAAAMAAAABAAAAFQAAACsAAAAKgAAADMAAAC9AAAARwAAAAEAAADRdslBqwrJQSoAAAAzAAAAEAAAAEwAAAAAAAAAAAAAAAAAAAD//////////2wAAABOAEkAQwBPAEwAQQBTACAARwBPAE4AWgBBAEwARQBaAAwAAAAEAAAACgAAAAwAAAAIAAAACgAAAAkAAAAEAAAACwAAAAwAAAAMAAAACQAAAAoAAAAIAAAACAAAAAkAAABLAAAAQAAAADAAAAAFAAAAIAAAAAEAAAABAAAAEAAAAAAAAAAAAAAAKgEAAIAAAAAAAAAAAAAAACoBAACAAAAAJQAAAAwAAAACAAAAJwAAABgAAAAFAAAAAAAAAP///wAAAAAAJQAAAAwAAAAFAAAATAAAAGQAAAAAAAAAUAAAACkBAAB8AAAAAAAAAFAAAAAq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rAAAAAoAAABQAAAAcAAAAFwAAAABAAAA0XbJQasKyUEKAAAAUAAAABAAAABMAAAAAAAAAAAAAAAAAAAA//////////9sAAAATgBJAEMATwBMAEEAUwAgAEcATwBOAFoAQQBMAEUAWgAIAAAAAwAAAAcAAAAJAAAABQAAAAcAAAAGAAAAAwAAAAgAAAAJAAAACAAAAAYAAAAHAAAABQAAAAY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SgAAAGwAAAABAAAA0XbJQasKyUEKAAAAYAAAAAsAAABMAAAAAAAAAAAAAAAAAAAA//////////9kAAAAUABSAEUAUwBJAEQARQBOAFQARQAgAAAABgAAAAcAAAAGAAAABgAAAAMAAAAIAAAABgAAAAgAAAAGAAAABgAAAAMAAABLAAAAQAAAADAAAAAFAAAAIAAAAAEAAAABAAAAEAAAAAAAAAAAAAAAKgEAAIAAAAAAAAAAAAAAACoBAACAAAAAJQAAAAwAAAACAAAAJwAAABgAAAAFAAAAAAAAAP///wAAAAAAJQAAAAwAAAAFAAAATAAAAGQAAAAJAAAAcAAAACABAAB8AAAACQAAAHAAAAAYAQAADQAAACEA8AAAAAAAAAAAAAAAgD8AAAAAAAAAAAAAgD8AAAAAAAAAAAAAAAAAAAAAAAAAAAAAAAAAAAAAAAAAACUAAAAMAAAAAAAAgCgAAAAMAAAABQAAACUAAAAMAAAAAQAAABgAAAAMAAAAAAAAABIAAAAMAAAAAQAAABYAAAAMAAAAAAAAAFQAAAB0AQAACgAAAHAAAAAfAQAAfAAAAAEAAADRdslBqwrJQQoAAABwAAAAMQAAAEwAAAAEAAAACQAAAHAAAAAhAQAAfQAAALAAAABGAGkAcgBtAGEAZABvACAAcABvAHIAOgAgADMAYgA0ADEANABiADIAZAAtADUAZgA5AGIALQA0ADUAMQBhAC0AOAAzAGQAMwAtADAAYQBlADUAZgA4AGEAMAAwADAANwA2AAAABgAAAAMAAAAEAAAACQAAAAYAAAAHAAAABwAAAAMAAAAHAAAABwAAAAQAAAADAAAAAwAAAAYAAAAHAAAABgAAAAYAAAAGAAAABwAAAAYAAAAHAAAABAAAAAYAAAAEAAAABgAAAAcAAAAEAAAABgAAAAYAAAAGAAAABgAAAAQAAAAGAAAABgAAAAcAAAAGAAAABAAAAAYAAAAGAAAABgAAAAYAAAAEAAAABgAAAAYAAAAGAAAABgAAAAYAAAAGAAAABgAAABYAAAAMAAAAAAAAACUAAAAMAAAAAgAAAA4AAAAUAAAAAAAAABAAAAAUAAAA</Object>
  <Object Id="idInvalidSigLnImg">AQAAAGwAAAAAAAAAAAAAACkBAAB/AAAAAAAAAAAAAABRHQAAkQwAACBFTUYAAAEAXCEAALE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By2+38AAADgHLb7fwAAEwAAAAAAAAAAADUu/H8AAIUob7X7fwAAMBY1Lvx/AAATAAAAAAAAAOAWAAAAAAAAQAAAwPt/AAAAADUu/H8AAFUrb7X7fwAABAAAAAAAAAAwFjUu/H8AACC1/mw6AAAAEwAAAAAAAABIAAAAAAAAAGQc/7X7fwAAoOMctvt/AADAIP+1+38AAAEAAAAAAAAASEb/tft/AAAAADUu/H8AAAAAAAAAAAAAAAAAADoAAAD//////////yAdTc53AQAAu6ZuLPx/AADwtf5sOgAAAIm2/mw6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KgEAAIAAAAAAAAAAAAAAACoBAACAAAAAUgAAAHABAAACAAAAEAAAAAcAAAAAAAAAAAAAALwCAAAAAAAAAQICIlMAeQBzAHQAZQBtAAAAAAAAAAAAAAAAAAAAAAAAAAAAAAAAAAAAAAAAAAAAAAAAAAAAAAAAAAAAAAAAAAAAAAAAAAAAAQAAAHcBAAC41P5sOgAAAABfodl3AQAAiL6RLPx/AAAAAAAAAAAAAAkAAAAAAAAAAAAAAAAAAADIKm+1+38AAAAAAAAAAAAAAAAAAAAAAAA/PZlx7R8AADjW/mw6AAAAUI6h2XcBAAAAJVPOdwEAACAdTc53AQAAYNf+bAAAAAAAAAAAAAAAAAcAAAAAAAAA6HTl4HcBAACc1v5sOgAAANnW/mw6AAAAgbdqLPx/AAAw1v5sOgAAADDW/mwAAAAAAABXtft/AAAA4By2+38AACAdTc53AQAAu6ZuLPx/AABA1v5sOgAAANnW/mw6AAAAkLo04nc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eK0+38AAImMXLT7fwAAAAAAAPt/AACIvpEs/H8AAAAAAAAAAAAAkFvitPt/AAABAAAAAAAAACDj4rT7fwAAAAAAAAAAAAAAAAAAAAAAAP9MmXHtHwAAYaT+bDoAAAAQ8TT7dwEAAOD///8AAAAAIB1NzncBAAA4pv5sAAAAAAAAAAAAAAAABgAAAAAAAAAgAAAAAAAAAFyl/mw6AAAAmaX+bDoAAACBt2os/H8AAMADZ8t3AQAAAAAAAAAAAADApf5sOgAAADyFIbb7fwAAIB1NzncBAAC7pm4s/H8AAACl/mw6AAAAmaX+bDoAAABA0X/1d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K0+38AAIi+kSz8fwAAAAAAAAAAAACQgNz6dwEAAJCA3Pp3AQAAAAAAAAAAAAAAAAAAAAAAAAAAAAAAAAAAP0yZce0fAAC2clO0+38AANjz4rT7fwAA8P///wAAAAAgHU3OdwEAAHim/mwAAAAAAAAAAAAAAAAJAAAAAAAAACAAAAAAAAAAnKX+bDoAAADZpf5sOgAAAIG3aiz8fwAA2PPitPt/AADY8+K0AAAAAAgAAAAAAQAAAAAAAAAAAAAgHU3OdwEAALumbiz8fwAAQKX+bDoAAADZpf5sOgAAAID6J+d3AQAAAAAAAGR2AAgAAAAAJQAAAAwAAAAEAAAAGAAAAAwAAAAAAAAAEgAAAAwAAAABAAAAHgAAABgAAAApAAAAMwAAAL8AAABIAAAAJQAAAAwAAAAEAAAAVAAAAKwAAAAqAAAAMwAAAL0AAABHAAAAAQAAANF2yUGrCslBKgAAADMAAAAQAAAATAAAAAAAAAAAAAAAAAAAAP//////////bAAAAE4ASQBDAE8ATABBAFMAIABHAE8ATgBaAEEATABFAFoADAAAAAQAAAAKAAAADAAAAAgAAAAKAAAACQAAAAQAAAALAAAADAAAAAwAAAAJAAAACgAAAAgAAAAIAAAACQ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wAAAAXAAAAAEAAADRdslBqwrJQQoAAABQAAAAEAAAAEwAAAAAAAAAAAAAAAAAAAD//////////2wAAABOAEkAQwBPAEwAQQBTACAARwBPAE4AWgBBAEwARQBaAAgAAAADAAAABwAAAAkAAAAFAAAABwAAAAYAAAADAAAACAAAAAkAAAAIAAAABgAAAAcAAAAFAAAABgAAAAYAAABLAAAAQAAAADAAAAAFAAAAIAAAAAEAAAABAAAAEAAAAAAAAAAAAAAAKgEAAIAAAAAAAAAAAAAAAC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KAAAAbAAAAAEAAADRdslBqwrJQQoAAABgAAAACwAAAEwAAAAAAAAAAAAAAAAAAAD//////////2QAAABQAFIARQBTAEkARABFAE4AVABFACAAAAAGAAAABwAAAAYAAAAGAAAAAwAAAAgAAAAGAAAACAAAAAYAAAAGAAAAAw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MwBiADQAMQA0AGIAMgBkAC0ANQBmADkAYgAtADQANQAxAGEALQA4ADMAZAAzAC0AMABhAGUANQBmADgAYQAwADAAMAA3ADYAAAAGAAAAAwAAAAQAAAAJAAAABgAAAAcAAAAHAAAAAwAAAAcAAAAHAAAABAAAAAMAAAADAAAABgAAAAcAAAAGAAAABgAAAAYAAAAHAAAABgAAAAcAAAAEAAAABgAAAAQAAAAGAAAABwAAAAQAAAAGAAAABgAAAAYAAAAGAAAABAAAAAYAAAAGAAAABwAAAAYAAAAEAAAABgAAAAYAAAAGAAAABgAAAAQAAAAGAAAABgAAAAYAAAAGAAAABg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1u02bTjfCs45TJ2uI63y2Nmtqfkw5Q2wcZ7xrNKDdzY=</DigestValue>
    </Reference>
    <Reference Type="http://www.w3.org/2000/09/xmldsig#Object" URI="#idOfficeObject">
      <DigestMethod Algorithm="http://www.w3.org/2001/04/xmlenc#sha256"/>
      <DigestValue>/qQ1Ew7vBzScZ+OVvidEmlEmB1Bx8QplG/De3c7edPA=</DigestValue>
    </Reference>
    <Reference Type="http://uri.etsi.org/01903#SignedProperties" URI="#idSignedProperties">
      <Transforms>
        <Transform Algorithm="http://www.w3.org/TR/2001/REC-xml-c14n-20010315"/>
      </Transforms>
      <DigestMethod Algorithm="http://www.w3.org/2001/04/xmlenc#sha256"/>
      <DigestValue>eoAUb0NBBhCBK2TEkcX6LZzauBz+ssJ8suqSv1Kxj0A=</DigestValue>
    </Reference>
    <Reference Type="http://www.w3.org/2000/09/xmldsig#Object" URI="#idValidSigLnImg">
      <DigestMethod Algorithm="http://www.w3.org/2001/04/xmlenc#sha256"/>
      <DigestValue>26hePxxQ75BE5b5HicgBGRYIZqpVgYwyKSd1/mEOayQ=</DigestValue>
    </Reference>
    <Reference Type="http://www.w3.org/2000/09/xmldsig#Object" URI="#idInvalidSigLnImg">
      <DigestMethod Algorithm="http://www.w3.org/2001/04/xmlenc#sha256"/>
      <DigestValue>dnFxYuOzAUGfdT+P4Tj7pf5eslTNGGjFaNXYUrB//P0=</DigestValue>
    </Reference>
  </SignedInfo>
  <SignatureValue>GD1KIrL41QorQBlMiAvYnthtMSipa63ai/JpPhgb3UjjHJsmklRJEvEbGfvx0ae9CgyvMowwd+6i
j83cp+fey1RSk+B4KQQFk2779lhVc7Ltt9UiO4BhzP0ioESgw4z2jhBfjyp2fgZCCtTXQpSDMy/m
w7H1BwoIuoWx0QE7CtkaM2vFSVJj5YFa8GqYMK40QoiUMhEYzj80HAChkhPxv6iIL9Oe/oDGVgPH
OooxvA24itWIsBxwCFDOohZiR0e0AAn1yCCqGikC4Z+3OEYiTkSASipNFirV6SpHT2qOFJgBfvwb
xr9S+rUNgu54aED0hSduFmw4UVAJq5bUtIF3gg==</SignatureValue>
  <KeyInfo>
    <X509Data>
      <X509Certificate>MIID8jCCAtqgAwIBAgIQLHIxIUX3caZIJnBJSD8IzDANBgkqhkiG9w0BAQsFADB4MXYwEQYKCZImiZPyLGQBGRYDbmV0MBUGCgmSJomT8ixkARkWB3dpbmRvd3MwHQYDVQQDExZNUy1Pcmdhbml6YXRpb24tQWNjZXNzMCsGA1UECxMkODJkYmFjYTQtM2U4MS00NmNhLTljNzMtMDk1MGMxZWFjYTk3MB4XDTIyMTAxMTE5MDI0OFoXDTMyMTAxMTE5MzI0OFowLzEtMCsGA1UEAxMkM2I0MTRiMmQtNWY5Yi00NTFhLTgzZDMtMGFlNWY4YTAwMDc2MIIBIjANBgkqhkiG9w0BAQEFAAOCAQ8AMIIBCgKCAQEAvvmm03s04/895KAhaJLw9k9xepl3afdTVnOlQtPaCBWU7KFugoN4VJrmvfvAA4ldYai7iN4QaKvb6YGD5eJX2nVud54hFBH5rzY6RflC3c+SPkpHMlQ3fHQPCQckcV6kW2pLM84e3hZFDSmiBkNgrfj+dQVLzCN1iK0BA/tagOH1mdDr6xJxXVPSHKgUzU0Sjp1VfzQAPpNselFjxMsz3tbcxCSH0bTdB12nUC6jJ1k/8G29b8nNJshej+LXYOBUt4x/nb26Pkqy29CQSQ5jYBLikI3Wg6uoAYst1Y98OhfVmRM2hyTAb5kSSA76gakzxg/oS9gEoEGwzccU6CPaowIDAQABo4HAMIG9MAwGA1UdEwEB/wQCMAAwFgYDVR0lAQH/BAwwCgYIKwYBBQUHAwIwIgYLKoZIhvcUAQWCHAIEEwSBEC1LQTubXxpFg9MK5figAHYwIgYLKoZIhvcUAQWCHAMEEwSBEGWiweqs5VRJlUYZklWpx0QwIgYLKoZIhvcUAQWCHAUEEwSBEEyqIE4vgLdGpdoKUwxzDXAwFAYLKoZIhvcUAQWCHAgEBQSBAlNBMBMGCyqGSIb3FAEFghwHBAQEgQEwMA0GCSqGSIb3DQEBCwUAA4IBAQBJVKCbNzeGaUh4D+7ObrjVbgXpAdaJ1Cx/xXTcDR38tkqxwDPrvLaYiWpvXpOZiD5sfBisE9SVWqPRrSp9aMBJNlqmy1/5mj3OBm4O/s7FnrPrOyf46KDNetaEMjZWDY+gWGNGSjMu8wRPpYb6iLFjbng3iCJC3qWJuq5lnxn4gv9+HE0kQJjGLGkZtuh7x9EG/7st4uub2zHKfZUMgRBjc+wkbtmtcrN/JyO4RQEaaIt1uqGd7+OgTsAgmJ7WtkhWzaDA71CeogEYloWdRKggkThxbw+qWRyE/9amUXBUkG/EMiXEURArxntenbKTmFI82YUsXVZ8ZrsL4e1Do93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v2UOAFhrzq6YoxpQRtXYtV5wfR4EiRb4vfpDC92scNQ=</DigestValue>
      </Reference>
      <Reference URI="/xl/calcChain.xml?ContentType=application/vnd.openxmlformats-officedocument.spreadsheetml.calcChain+xml">
        <DigestMethod Algorithm="http://www.w3.org/2001/04/xmlenc#sha256"/>
        <DigestValue>1NwUbDvSYCDh7NqlsnOdaoQ0yuxTNw5z1hLTsQY6uQY=</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gbnhUu4zOjfeLhV+WqXLHYfjBViAAep/iW9WZiAGPqk=</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wuJgA0hB+FGaTP6P0oNqbkl2WN3y0aRJPBr2REhnye0=</DigestValue>
      </Reference>
      <Reference URI="/xl/drawings/vmlDrawing1.vml?ContentType=application/vnd.openxmlformats-officedocument.vmlDrawing">
        <DigestMethod Algorithm="http://www.w3.org/2001/04/xmlenc#sha256"/>
        <DigestValue>2DdknfiZLO/miL9Fl90KHwStvYKp2WlPrjRbKhiX9oo=</DigestValue>
      </Reference>
      <Reference URI="/xl/drawings/vmlDrawing2.vml?ContentType=application/vnd.openxmlformats-officedocument.vmlDrawing">
        <DigestMethod Algorithm="http://www.w3.org/2001/04/xmlenc#sha256"/>
        <DigestValue>94MImpNHRCuq9UAEN+mu1CltqmWzLfAg6EFUryTjJOE=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externalLink1.xml?ContentType=application/vnd.openxmlformats-officedocument.spreadsheetml.externalLink+xml">
        <DigestMethod Algorithm="http://www.w3.org/2001/04/xmlenc#sha256"/>
        <DigestValue>hWTuaJSK7DUyr35svTGvjY3QMhT6KW6ivYs9GaQ+/S0=</DigestValue>
      </Reference>
      <Reference URI="/xl/externalLinks/externalLink2.xml?ContentType=application/vnd.openxmlformats-officedocument.spreadsheetml.externalLink+xml">
        <DigestMethod Algorithm="http://www.w3.org/2001/04/xmlenc#sha256"/>
        <DigestValue>T4f91FKrHvpGs22B7L6etTzcfW8nCklbXXR+vqY5Sag=</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Xgd2FFhBGqr200URkJUxR4tzO/cgh6LQiyjoOBGYPZ4=</DigestValue>
      </Reference>
      <Reference URI="/xl/media/image3.emf?ContentType=image/x-emf">
        <DigestMethod Algorithm="http://www.w3.org/2001/04/xmlenc#sha256"/>
        <DigestValue>FpKXGOzPrmrErPuPjIxJOvj8Lh1JHeyCU0Nq6SZnS64=</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TgIMx8QDwNRGu7tu2cr4WMu+E1qBIttbvwHqwHhzmd0=</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6ahAHQzavVm87/rE5X9no3ddnTEz3fbhGTBvAAcAjoo=</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hCwrwQFzcu/nypR+X5v9EidCH4O0kBbUsHQJ/Y5rTbE=</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N463sb7HqCoPUT5eIqWMR2Jm5dqh14E/BxEIrKEWUYc=</DigestValue>
      </Reference>
      <Reference URI="/xl/printerSettings/printerSettings33.bin?ContentType=application/vnd.openxmlformats-officedocument.spreadsheetml.printerSettings">
        <DigestMethod Algorithm="http://www.w3.org/2001/04/xmlenc#sha256"/>
        <DigestValue>CPmghBcq8M3AOC7OD9E4RGQCJ4N82avzjW2vuKZebXA=</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1geCLZPmYopQqajWiusk5/q1VoeMFXzHw7Pt8MnxM4k=</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67ZYybaMdjhI5UrcHvIS96Skg5nNMe+dGUkGxpf3l6k=</DigestValue>
      </Reference>
      <Reference URI="/xl/styles.xml?ContentType=application/vnd.openxmlformats-officedocument.spreadsheetml.styles+xml">
        <DigestMethod Algorithm="http://www.w3.org/2001/04/xmlenc#sha256"/>
        <DigestValue>3Yx2JnLnWw57fYDhKzzW/KAxetkY1c1PnT+0GwPmHjw=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VY0ml/Yr4aJqBVQed//FKqAyxCpiLFc7xpAEvbhhp7c=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3VinKOkYdTzGkWOmThBRr8r1s/4+nVYsXUjgQnsEsZU=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3RaW0wv3Qo8pwCamawk3gOwoU0mCbjOrh4jUhVpsp7A=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Iknv5OrsI3Za9rNyTdbGSgccJtVUnNyCtVpt/kPU9is=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jCkKqNV3puRXjrJWKVAZnawm8xCCqoffbQOYVHZOpEk=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0NwMx5bFeGvriu9lYvvtNo4F40cDIeOHRwSZdVJjqUA=</DigestValue>
      </Reference>
      <Reference URI="/xl/worksheets/sheet10.xml?ContentType=application/vnd.openxmlformats-officedocument.spreadsheetml.worksheet+xml">
        <DigestMethod Algorithm="http://www.w3.org/2001/04/xmlenc#sha256"/>
        <DigestValue>du7oBkpw8GEsxiKNX8cd0iHaqZvUXIA1oM+3VPi5kJ0=</DigestValue>
      </Reference>
      <Reference URI="/xl/worksheets/sheet11.xml?ContentType=application/vnd.openxmlformats-officedocument.spreadsheetml.worksheet+xml">
        <DigestMethod Algorithm="http://www.w3.org/2001/04/xmlenc#sha256"/>
        <DigestValue>CHixEJkS/8/UOc1G4ea1Y7fPurz/TQkOY2ok393l3/c=</DigestValue>
      </Reference>
      <Reference URI="/xl/worksheets/sheet12.xml?ContentType=application/vnd.openxmlformats-officedocument.spreadsheetml.worksheet+xml">
        <DigestMethod Algorithm="http://www.w3.org/2001/04/xmlenc#sha256"/>
        <DigestValue>d2f6nUx7cA8bXqQh9wKCLN391aygBQetUe2I+4yCfng=</DigestValue>
      </Reference>
      <Reference URI="/xl/worksheets/sheet13.xml?ContentType=application/vnd.openxmlformats-officedocument.spreadsheetml.worksheet+xml">
        <DigestMethod Algorithm="http://www.w3.org/2001/04/xmlenc#sha256"/>
        <DigestValue>CJWF/v6bCWZIMQjQki1b6VF6zRwPTWIv8AFtdpvmoVU=</DigestValue>
      </Reference>
      <Reference URI="/xl/worksheets/sheet14.xml?ContentType=application/vnd.openxmlformats-officedocument.spreadsheetml.worksheet+xml">
        <DigestMethod Algorithm="http://www.w3.org/2001/04/xmlenc#sha256"/>
        <DigestValue>8JBt1GgRphHZnGcTPCMOffDkoaLo5tRdXRmx7tUnqU8=</DigestValue>
      </Reference>
      <Reference URI="/xl/worksheets/sheet15.xml?ContentType=application/vnd.openxmlformats-officedocument.spreadsheetml.worksheet+xml">
        <DigestMethod Algorithm="http://www.w3.org/2001/04/xmlenc#sha256"/>
        <DigestValue>QJhtKjC8EtJzPPRCxtjoKk4yVRvhg9ZfCRPHTaBkC0I=</DigestValue>
      </Reference>
      <Reference URI="/xl/worksheets/sheet16.xml?ContentType=application/vnd.openxmlformats-officedocument.spreadsheetml.worksheet+xml">
        <DigestMethod Algorithm="http://www.w3.org/2001/04/xmlenc#sha256"/>
        <DigestValue>nXxCCRFeS7ppyrRqSsw29ft/qoqUaxnaecfrP1sficU=</DigestValue>
      </Reference>
      <Reference URI="/xl/worksheets/sheet17.xml?ContentType=application/vnd.openxmlformats-officedocument.spreadsheetml.worksheet+xml">
        <DigestMethod Algorithm="http://www.w3.org/2001/04/xmlenc#sha256"/>
        <DigestValue>Bf1LOrY8RdtvIsk/rc5diBVPJVI2D6WvBo3mx0israw=</DigestValue>
      </Reference>
      <Reference URI="/xl/worksheets/sheet18.xml?ContentType=application/vnd.openxmlformats-officedocument.spreadsheetml.worksheet+xml">
        <DigestMethod Algorithm="http://www.w3.org/2001/04/xmlenc#sha256"/>
        <DigestValue>ZZE16W2t8ggV+K7RrqbKj0uG3PyeNDsr3Xzj6BEWQSw=</DigestValue>
      </Reference>
      <Reference URI="/xl/worksheets/sheet19.xml?ContentType=application/vnd.openxmlformats-officedocument.spreadsheetml.worksheet+xml">
        <DigestMethod Algorithm="http://www.w3.org/2001/04/xmlenc#sha256"/>
        <DigestValue>1HftQOSEdNJW8s/pTbLOJmLCkQTlqbWR8/z1+DROVDM=</DigestValue>
      </Reference>
      <Reference URI="/xl/worksheets/sheet2.xml?ContentType=application/vnd.openxmlformats-officedocument.spreadsheetml.worksheet+xml">
        <DigestMethod Algorithm="http://www.w3.org/2001/04/xmlenc#sha256"/>
        <DigestValue>Wpo+N9gPbkBY0ugX69VvSG73FfCQsXf+VEBImFmaB+4=</DigestValue>
      </Reference>
      <Reference URI="/xl/worksheets/sheet20.xml?ContentType=application/vnd.openxmlformats-officedocument.spreadsheetml.worksheet+xml">
        <DigestMethod Algorithm="http://www.w3.org/2001/04/xmlenc#sha256"/>
        <DigestValue>iDFQkK8K/dCw8ea+pQ6dUEOG5iHZcJYNvQmDjwCOFFk=</DigestValue>
      </Reference>
      <Reference URI="/xl/worksheets/sheet21.xml?ContentType=application/vnd.openxmlformats-officedocument.spreadsheetml.worksheet+xml">
        <DigestMethod Algorithm="http://www.w3.org/2001/04/xmlenc#sha256"/>
        <DigestValue>0fh3L0/I5ypb/oAF8he48ZRPYvK8/xAjlzbPOgoxyig=</DigestValue>
      </Reference>
      <Reference URI="/xl/worksheets/sheet22.xml?ContentType=application/vnd.openxmlformats-officedocument.spreadsheetml.worksheet+xml">
        <DigestMethod Algorithm="http://www.w3.org/2001/04/xmlenc#sha256"/>
        <DigestValue>I89MuxVJ/qR41R8xyCwHLiBsTTFWLtLRh2FFK8uTwVY=</DigestValue>
      </Reference>
      <Reference URI="/xl/worksheets/sheet23.xml?ContentType=application/vnd.openxmlformats-officedocument.spreadsheetml.worksheet+xml">
        <DigestMethod Algorithm="http://www.w3.org/2001/04/xmlenc#sha256"/>
        <DigestValue>cvUcsKugc+uBZnVlhl/bqHenKCZKVItHjipaI7bBq/w=</DigestValue>
      </Reference>
      <Reference URI="/xl/worksheets/sheet24.xml?ContentType=application/vnd.openxmlformats-officedocument.spreadsheetml.worksheet+xml">
        <DigestMethod Algorithm="http://www.w3.org/2001/04/xmlenc#sha256"/>
        <DigestValue>4tmIx2Xasb+DVzE2Q/8JFcQxnRJF3WZ1fFD14S/7Hng=</DigestValue>
      </Reference>
      <Reference URI="/xl/worksheets/sheet25.xml?ContentType=application/vnd.openxmlformats-officedocument.spreadsheetml.worksheet+xml">
        <DigestMethod Algorithm="http://www.w3.org/2001/04/xmlenc#sha256"/>
        <DigestValue>M6AkVfR/smh7JXnLyY5im0r4vK25yStJm1feKrPFBhs=</DigestValue>
      </Reference>
      <Reference URI="/xl/worksheets/sheet26.xml?ContentType=application/vnd.openxmlformats-officedocument.spreadsheetml.worksheet+xml">
        <DigestMethod Algorithm="http://www.w3.org/2001/04/xmlenc#sha256"/>
        <DigestValue>aViekH+fJtEUXEYJN+I8yVrwdKr2xAj5R85iuMz1tLI=</DigestValue>
      </Reference>
      <Reference URI="/xl/worksheets/sheet27.xml?ContentType=application/vnd.openxmlformats-officedocument.spreadsheetml.worksheet+xml">
        <DigestMethod Algorithm="http://www.w3.org/2001/04/xmlenc#sha256"/>
        <DigestValue>gUrTvQqa2XQqMATn8MzmNZoqgaREqAVx/OsUPSTZyeI=</DigestValue>
      </Reference>
      <Reference URI="/xl/worksheets/sheet28.xml?ContentType=application/vnd.openxmlformats-officedocument.spreadsheetml.worksheet+xml">
        <DigestMethod Algorithm="http://www.w3.org/2001/04/xmlenc#sha256"/>
        <DigestValue>DShDCRMSE2BFZiG2WfROB3byABAaQ+7nG/seRoeTArA=</DigestValue>
      </Reference>
      <Reference URI="/xl/worksheets/sheet29.xml?ContentType=application/vnd.openxmlformats-officedocument.spreadsheetml.worksheet+xml">
        <DigestMethod Algorithm="http://www.w3.org/2001/04/xmlenc#sha256"/>
        <DigestValue>NzlryhQ1ll5tvZ8LO849PFfq9waXxEstx58TLWP//k4=</DigestValue>
      </Reference>
      <Reference URI="/xl/worksheets/sheet3.xml?ContentType=application/vnd.openxmlformats-officedocument.spreadsheetml.worksheet+xml">
        <DigestMethod Algorithm="http://www.w3.org/2001/04/xmlenc#sha256"/>
        <DigestValue>voxQ6/6iNg4MAGbmlcqFbUC6NB8I11UyS3H8wlq+mc8=</DigestValue>
      </Reference>
      <Reference URI="/xl/worksheets/sheet30.xml?ContentType=application/vnd.openxmlformats-officedocument.spreadsheetml.worksheet+xml">
        <DigestMethod Algorithm="http://www.w3.org/2001/04/xmlenc#sha256"/>
        <DigestValue>lTjt9UA0tmYTtlTkLloq3G9OTw1tPAU1nVY/ueyP7PI=</DigestValue>
      </Reference>
      <Reference URI="/xl/worksheets/sheet31.xml?ContentType=application/vnd.openxmlformats-officedocument.spreadsheetml.worksheet+xml">
        <DigestMethod Algorithm="http://www.w3.org/2001/04/xmlenc#sha256"/>
        <DigestValue>XvYgEFI+ZFb0kkflWGj6ZBto8jtXIcQis4HfuYcqxSE=</DigestValue>
      </Reference>
      <Reference URI="/xl/worksheets/sheet32.xml?ContentType=application/vnd.openxmlformats-officedocument.spreadsheetml.worksheet+xml">
        <DigestMethod Algorithm="http://www.w3.org/2001/04/xmlenc#sha256"/>
        <DigestValue>9mqoT1o6emvhC69oU0v0TCXr69/k8Y/1C80mGyibb08=</DigestValue>
      </Reference>
      <Reference URI="/xl/worksheets/sheet33.xml?ContentType=application/vnd.openxmlformats-officedocument.spreadsheetml.worksheet+xml">
        <DigestMethod Algorithm="http://www.w3.org/2001/04/xmlenc#sha256"/>
        <DigestValue>7bFXXyZVM8LnQ5LzXP0HIsehVWUCxUaYXBivzLGUsao=</DigestValue>
      </Reference>
      <Reference URI="/xl/worksheets/sheet34.xml?ContentType=application/vnd.openxmlformats-officedocument.spreadsheetml.worksheet+xml">
        <DigestMethod Algorithm="http://www.w3.org/2001/04/xmlenc#sha256"/>
        <DigestValue>PBtMTZ+N64SD/iBe8YOy92VQgP+CobvSzfgCC0FfxRY=</DigestValue>
      </Reference>
      <Reference URI="/xl/worksheets/sheet35.xml?ContentType=application/vnd.openxmlformats-officedocument.spreadsheetml.worksheet+xml">
        <DigestMethod Algorithm="http://www.w3.org/2001/04/xmlenc#sha256"/>
        <DigestValue>TwGu1dUYu4Cr3DnTQKQ4BrDuiqovRpk/v3EHf4UpzB8=</DigestValue>
      </Reference>
      <Reference URI="/xl/worksheets/sheet36.xml?ContentType=application/vnd.openxmlformats-officedocument.spreadsheetml.worksheet+xml">
        <DigestMethod Algorithm="http://www.w3.org/2001/04/xmlenc#sha256"/>
        <DigestValue>rFH+hDxGPx+Az/sQuU5jUDYYrVsUP4UUCYDxaGojldU=</DigestValue>
      </Reference>
      <Reference URI="/xl/worksheets/sheet37.xml?ContentType=application/vnd.openxmlformats-officedocument.spreadsheetml.worksheet+xml">
        <DigestMethod Algorithm="http://www.w3.org/2001/04/xmlenc#sha256"/>
        <DigestValue>MUlwS8JUdWu1lfW3eU5OcxPX1tkOg2pRVnP3UOOu+oM=</DigestValue>
      </Reference>
      <Reference URI="/xl/worksheets/sheet38.xml?ContentType=application/vnd.openxmlformats-officedocument.spreadsheetml.worksheet+xml">
        <DigestMethod Algorithm="http://www.w3.org/2001/04/xmlenc#sha256"/>
        <DigestValue>dtXiF8w9oH0be4Vn1If3jOrS4ik/COzEdz5/D++v5DI=</DigestValue>
      </Reference>
      <Reference URI="/xl/worksheets/sheet39.xml?ContentType=application/vnd.openxmlformats-officedocument.spreadsheetml.worksheet+xml">
        <DigestMethod Algorithm="http://www.w3.org/2001/04/xmlenc#sha256"/>
        <DigestValue>h9Haz6I8nAcz/evNm3AHH88AJHumK64MtsTk/u0wMNk=</DigestValue>
      </Reference>
      <Reference URI="/xl/worksheets/sheet4.xml?ContentType=application/vnd.openxmlformats-officedocument.spreadsheetml.worksheet+xml">
        <DigestMethod Algorithm="http://www.w3.org/2001/04/xmlenc#sha256"/>
        <DigestValue>BBYk0rvx7LssmLdb52L+7oDDiv8ZBOnJNqbP6icANaw=</DigestValue>
      </Reference>
      <Reference URI="/xl/worksheets/sheet40.xml?ContentType=application/vnd.openxmlformats-officedocument.spreadsheetml.worksheet+xml">
        <DigestMethod Algorithm="http://www.w3.org/2001/04/xmlenc#sha256"/>
        <DigestValue>gOCAKmpi/yIdkFAAqp+99hv45X/g2HF0k0zp/GmlQU4=</DigestValue>
      </Reference>
      <Reference URI="/xl/worksheets/sheet41.xml?ContentType=application/vnd.openxmlformats-officedocument.spreadsheetml.worksheet+xml">
        <DigestMethod Algorithm="http://www.w3.org/2001/04/xmlenc#sha256"/>
        <DigestValue>n+u48kAcvs0Svc1GnDtkGye/B2Eq09Iwftt8NHdG7w0=</DigestValue>
      </Reference>
      <Reference URI="/xl/worksheets/sheet42.xml?ContentType=application/vnd.openxmlformats-officedocument.spreadsheetml.worksheet+xml">
        <DigestMethod Algorithm="http://www.w3.org/2001/04/xmlenc#sha256"/>
        <DigestValue>VBv1NAbJwdXlcdZsqQuBd1PnDjHpXirLMxV5l4c9jho=</DigestValue>
      </Reference>
      <Reference URI="/xl/worksheets/sheet43.xml?ContentType=application/vnd.openxmlformats-officedocument.spreadsheetml.worksheet+xml">
        <DigestMethod Algorithm="http://www.w3.org/2001/04/xmlenc#sha256"/>
        <DigestValue>IF07wf4E86U1TIiutIIya04uSWoOwLd+DFDXfNsfFOc=</DigestValue>
      </Reference>
      <Reference URI="/xl/worksheets/sheet44.xml?ContentType=application/vnd.openxmlformats-officedocument.spreadsheetml.worksheet+xml">
        <DigestMethod Algorithm="http://www.w3.org/2001/04/xmlenc#sha256"/>
        <DigestValue>OJ9a4sIvXGQrtXqNcp67YTJ6yhzDQFNtZdj0eph+V/k=</DigestValue>
      </Reference>
      <Reference URI="/xl/worksheets/sheet45.xml?ContentType=application/vnd.openxmlformats-officedocument.spreadsheetml.worksheet+xml">
        <DigestMethod Algorithm="http://www.w3.org/2001/04/xmlenc#sha256"/>
        <DigestValue>6LTgcwO0zZ7jlo4BGeGT1jkpYbUWzyNvwNrv61Xjy1Q=</DigestValue>
      </Reference>
      <Reference URI="/xl/worksheets/sheet46.xml?ContentType=application/vnd.openxmlformats-officedocument.spreadsheetml.worksheet+xml">
        <DigestMethod Algorithm="http://www.w3.org/2001/04/xmlenc#sha256"/>
        <DigestValue>FcmyPSL7JLX7I71RfmmfPoKGU9k54+9QgrlW9B/4N/A=</DigestValue>
      </Reference>
      <Reference URI="/xl/worksheets/sheet47.xml?ContentType=application/vnd.openxmlformats-officedocument.spreadsheetml.worksheet+xml">
        <DigestMethod Algorithm="http://www.w3.org/2001/04/xmlenc#sha256"/>
        <DigestValue>2hYunVa5tNiiLSL0zw3ntMGS9RGC6xtNmCMtYVNldlc=</DigestValue>
      </Reference>
      <Reference URI="/xl/worksheets/sheet48.xml?ContentType=application/vnd.openxmlformats-officedocument.spreadsheetml.worksheet+xml">
        <DigestMethod Algorithm="http://www.w3.org/2001/04/xmlenc#sha256"/>
        <DigestValue>lEfbu6uIWXmvA0dYWjOIt4dIxv6blBN8FrNdS0NpGJE=</DigestValue>
      </Reference>
      <Reference URI="/xl/worksheets/sheet5.xml?ContentType=application/vnd.openxmlformats-officedocument.spreadsheetml.worksheet+xml">
        <DigestMethod Algorithm="http://www.w3.org/2001/04/xmlenc#sha256"/>
        <DigestValue>XbOG/FzE761tCswOErKeK6lF1HqXEgHs8SjytbcSpOA=</DigestValue>
      </Reference>
      <Reference URI="/xl/worksheets/sheet6.xml?ContentType=application/vnd.openxmlformats-officedocument.spreadsheetml.worksheet+xml">
        <DigestMethod Algorithm="http://www.w3.org/2001/04/xmlenc#sha256"/>
        <DigestValue>PpNmpeyh0y9yPHejnmm3EwHscRgHnN4LTJPRNWL1/Co=</DigestValue>
      </Reference>
      <Reference URI="/xl/worksheets/sheet7.xml?ContentType=application/vnd.openxmlformats-officedocument.spreadsheetml.worksheet+xml">
        <DigestMethod Algorithm="http://www.w3.org/2001/04/xmlenc#sha256"/>
        <DigestValue>eixYZzAm13RJPk+DS0MDwxQqxbP+Mbd7PIGeNeNwIgs=</DigestValue>
      </Reference>
      <Reference URI="/xl/worksheets/sheet8.xml?ContentType=application/vnd.openxmlformats-officedocument.spreadsheetml.worksheet+xml">
        <DigestMethod Algorithm="http://www.w3.org/2001/04/xmlenc#sha256"/>
        <DigestValue>kALVBto+u5kGD6bqmIGJdagffRO0xMjAdGkCk82o1oo=</DigestValue>
      </Reference>
      <Reference URI="/xl/worksheets/sheet9.xml?ContentType=application/vnd.openxmlformats-officedocument.spreadsheetml.worksheet+xml">
        <DigestMethod Algorithm="http://www.w3.org/2001/04/xmlenc#sha256"/>
        <DigestValue>z6tA8j7NOI7hTjH+Z2Fzs7KP7HhQUQAuEDB4LN1CPQA=</DigestValue>
      </Reference>
    </Manifest>
    <SignatureProperties>
      <SignatureProperty Id="idSignatureTime" Target="#idPackageSignature">
        <mdssi:SignatureTime xmlns:mdssi="http://schemas.openxmlformats.org/package/2006/digital-signature">
          <mdssi:Format>YYYY-MM-DDThh:mm:ssTZD</mdssi:Format>
          <mdssi:Value>2022-11-10T13:11:18Z</mdssi:Value>
        </mdssi:SignatureTime>
      </SignatureProperty>
    </SignatureProperties>
  </Object>
  <Object Id="idOfficeObject">
    <SignatureProperties>
      <SignatureProperty Id="idOfficeV1Details" Target="#idPackageSignature">
        <SignatureInfoV1 xmlns="http://schemas.microsoft.com/office/2006/digsig">
          <SetupID>{EEE69E55-838A-4EB8-A142-FCE8ACB6C864}</SetupID>
          <SignatureText>LAURA VALDEZ</SignatureText>
          <SignatureImage/>
          <SignatureComments/>
          <WindowsVersion>10.0</WindowsVersion>
          <OfficeVersion>16.0.15726/23</OfficeVersion>
          <ApplicationVersion>16.0.15726</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2022-11-10T13:11:18Z</xd:SigningTime>
          <xd:SigningCertificate>
            <xd:Cert>
              <xd:CertDigest>
                <DigestMethod Algorithm="http://www.w3.org/2001/04/xmlenc#sha256"/>
                <DigestValue>tZk7NC7nsHjXcNo3YDi1JkAqS5scqtd6ZKmU1KWaZSU=</DigestValue>
              </xd:CertDigest>
              <xd:IssuerSerial>
                <X509IssuerName>DC=net + DC=windows + CN=MS-Organization-Access + OU=82dbaca4-3e81-46ca-9c73-0950c1eaca97</X509IssuerName>
                <X509SerialNumber>59078950130662817709882571169879492812</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t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By2+38AAADgHLb7fwAAEwAAAAAAAAAAADUu/H8AAIUob7X7fwAAMBY1Lvx/AAATAAAAAAAAAOAWAAAAAAAAQAAAwPt/AAAAADUu/H8AAFUrb7X7fwAABAAAAAAAAAAwFjUu/H8AACC1/mw6AAAAEwAAAAAAAABIAAAAAAAAAGQc/7X7fwAAoOMctvt/AADAIP+1+38AAAEAAAAAAAAASEb/tft/AAAAADUu/H8AAAAAAAAAAAAAAAAAADoAAAD//////////yAdTc53AQAAu6ZuLPx/AADwtf5sOgAAAIm2/mw6AAAAAAAAAAAAAAAAAAAAZHYACAAAAAAlAAAADAAAAAEAAAAYAAAADAAAAAAAAAASAAAADAAAAAEAAAAeAAAAGAAAAL0AAAAEAAAA9wAAABEAAAAlAAAADAAAAAEAAABUAAAAiAAAAL4AAAAEAAAA9QAAABAAAAABAAAA0XbJQasKyUG+AAAABAAAAAoAAABMAAAAAAAAAAAAAAAAAAAA//////////9gAAAAMQAwAC8AMQAxAC8AMgAwADIAMgAGAAAABgAAAAQAAAAGAAAABgAAAAQAAAAGAAAABgAAAAYAAAAGAAAASwAAAEAAAAAwAAAABQAAACAAAAABAAAAAQAAABAAAAAAAAAAAAAAACoBAACAAAAAAAAAAAAAAAAqAQAAgAAAAFIAAABwAQAAAgAAABAAAAAHAAAAAAAAAAAAAAC8AgAAAAAAAAECAiJTAHkAcwB0AGUAbQAAAAAAAAAAAAAAAAAAAAAAAAAAAAAAAAAAAAAAAAAAAAAAAAAAAAAAAAAAAAAAAAAAAAAAAAAAAAEAAAB3AQAAuNT+bDoAAAAAX6HZdwEAAIi+kSz8fwAAAAAAAAAAAAAJAAAAAAAAAAAAAAAAAAAAyCpvtft/AAAAAAAAAAAAAAAAAAAAAAAAPz2Zce0fAAA41v5sOgAAAFCOodl3AQAAACVTzncBAAAgHU3OdwEAAGDX/mwAAAAAAAAAAAAAAAAHAAAAAAAAAOh05eB3AQAAnNb+bDoAAADZ1v5sOgAAAIG3aiz8fwAAMNb+bDoAAAAw1v5sAAAAAAAAV7X7fwAAAOActvt/AAAgHU3OdwEAALumbiz8fwAAQNb+bDoAAADZ1v5sOgAAAJC6NOJ3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3itPt/AACJjFy0+38AAAAAAAD7fwAAiL6RLPx/AAAAAAAAAAAAAJBb4rT7fwAAAQAAAAAAAAAg4+K0+38AAAAAAAAAAAAAAAAAAAAAAAD/TJlx7R8AAGGk/mw6AAAAEPE0+3cBAADg////AAAAACAdTc53AQAAOKb+bAAAAAAAAAAAAAAAAAYAAAAAAAAAIAAAAAAAAABcpf5sOgAAAJml/mw6AAAAgbdqLPx/AADAA2fLdwEAAAAAAAAAAAAAwKX+bDoAAAA8hSG2+38AACAdTc53AQAAu6ZuLPx/AAAApf5sOgAAAJml/mw6AAAAQNF/9XcBAAAAAAAAZHYACAAAAAAlAAAADAAAAAMAAAAYAAAADAAAAAAAAAASAAAADAAAAAEAAAAWAAAADAAAAAgAAABUAAAAVAAAAAoAAAAnAAAAHgAAAEoAAAABAAAA0XbJQasKyUEKAAAASwAAAAEAAABMAAAABAAAAAkAAAAnAAAAIAAAAEsAAABQAAAAWAD7r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gAAAD/////2PPitPt/AACIvpEs/H8AAAAAAAAAAAAAkIDc+ncBAACQgNz6dwEAAAAAAAAAAAAAAAAAAAAAAAAAAAAAAAAAAD9MmXHtHwAAtnJTtPt/AADY8+K0+38AAPD///8AAAAAIB1NzncBAAB4pv5sAAAAAAAAAAAAAAAACQAAAAAAAAAgAAAAAAAAAJyl/mw6AAAA2aX+bDoAAACBt2os/H8AANjz4rT7fwAA2PPitAAAAAAIAAAAAAEAAAAAAAAAAAAAIB1NzncBAAC7pm4s/H8AAECl/mw6AAAA2aX+bDoAAACA+ifndwEAAAAAAABkdgAIAAAAACUAAAAMAAAABAAAABgAAAAMAAAAAAAAABIAAAAMAAAAAQAAAB4AAAAYAAAAKQAAADMAAACYAAAASAAAACUAAAAMAAAABAAAAFQAAACUAAAAKgAAADMAAACWAAAARwAAAAEAAADRdslBqwrJQSoAAAAzAAAADAAAAEwAAAAAAAAAAAAAAAAAAAD//////////2QAAABMAEEAVQBSAEEAIABWAEEATABEAEUAWgAIAAAACgAAAAsAAAAKAAAACgAAAAQAAAAKAAAACgAAAAgAAAALAAAACAAAAAkAAABLAAAAQAAAADAAAAAFAAAAIAAAAAEAAAABAAAAEAAAAAAAAAAAAAAAKgEAAIAAAAAAAAAAAAAAACoBAACAAAAAJQAAAAwAAAACAAAAJwAAABgAAAAFAAAAAAAAAP///wAAAAAAJQAAAAwAAAAFAAAATAAAAGQAAAAAAAAAUAAAACkBAAB8AAAAAAAAAFAAAAAq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QAAAFwAAAABAAAA0XbJQasKyUEKAAAAUAAAAAwAAABMAAAAAAAAAAAAAAAAAAAA//////////9kAAAATABBAFUAUgBBACAAVgBBAEwARABFAFoABQAAAAcAAAAIAAAABwAAAAcAAAADAAAABwAAAAcAAAAFAAAACAAAAAY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hAAAAAoAAABgAAAATQAAAGwAAAABAAAA0XbJQasKyUEKAAAAYAAAAAkAAABMAAAAAAAAAAAAAAAAAAAA//////////9gAAAAQwBPAE4AVABBAEQATwBSAEEAOZoHAAAACQAAAAgAAAAGAAAABwAAAAgAAAAJAAAABwAAAAcAAABLAAAAQAAAADAAAAAFAAAAIAAAAAEAAAABAAAAEAAAAAAAAAAAAAAAKgEAAIAAAAAAAAAAAAAAACoBAACAAAAAJQAAAAwAAAACAAAAJwAAABgAAAAFAAAAAAAAAP///wAAAAAAJQAAAAwAAAAFAAAATAAAAGQAAAAJAAAAcAAAACABAAB8AAAACQAAAHAAAAAYAQAADQAAACEA8AAAAAAAAAAAAAAAgD8AAAAAAAAAAAAAgD8AAAAAAAAAAAAAAAAAAAAAAAAAAAAAAAAAAAAAAAAAACUAAAAMAAAAAAAAgCgAAAAMAAAABQAAACUAAAAMAAAAAQAAABgAAAAMAAAAAAAAABIAAAAMAAAAAQAAABYAAAAMAAAAAAAAAFQAAAB0AQAACgAAAHAAAAAfAQAAfAAAAAEAAADRdslBqwrJQQoAAABwAAAAMQAAAEwAAAAEAAAACQAAAHAAAAAhAQAAfQAAALAAAABGAGkAcgBtAGEAZABvACAAcABvAHIAOgAgADMAYgA0ADEANABiADIAZAAtADUAZgA5AGIALQA0ADUAMQBhAC0AOAAzAGQAMwAtADAAYQBlADUAZgA4AGEAMAAwADAANwA2AC+yBgAAAAMAAAAEAAAACQAAAAYAAAAHAAAABwAAAAMAAAAHAAAABwAAAAQAAAADAAAAAwAAAAYAAAAHAAAABgAAAAYAAAAGAAAABwAAAAYAAAAHAAAABAAAAAYAAAAEAAAABgAAAAcAAAAEAAAABgAAAAYAAAAGAAAABgAAAAQAAAAGAAAABgAAAAcAAAAGAAAABAAAAAYAAAAGAAAABgAAAAYAAAAEAAAABgAAAAYAAAAGAAAABgAAAAYAAAAGAAAABgAAABYAAAAMAAAAAAAAACUAAAAMAAAAAgAAAA4AAAAUAAAAAAAAABAAAAAUAAAA</Object>
  <Object Id="idInvalidSigLnImg">AQAAAGwAAAAAAAAAAAAAACkBAAB/AAAAAAAAAAAAAABRHQAAkQwAACBFTUYAAAEAICEAALE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By2+38AAADgHLb7fwAAEwAAAAAAAAAAADUu/H8AAIUob7X7fwAAMBY1Lvx/AAATAAAAAAAAAOAWAAAAAAAAQAAAwPt/AAAAADUu/H8AAFUrb7X7fwAABAAAAAAAAAAwFjUu/H8AACC1/mw6AAAAEwAAAAAAAABIAAAAAAAAAGQc/7X7fwAAoOMctvt/AADAIP+1+38AAAEAAAAAAAAASEb/tft/AAAAADUu/H8AAAAAAAAAAAAAAAAAADoAAAD//////////yAdTc53AQAAu6ZuLPx/AADwtf5sOgAAAIm2/mw6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KgEAAIAAAAAAAAAAAAAAACoBAACAAAAAUgAAAHABAAACAAAAEAAAAAcAAAAAAAAAAAAAALwCAAAAAAAAAQICIlMAeQBzAHQAZQBtAAAAAAAAAAAAAAAAAAAAAAAAAAAAAAAAAAAAAAAAAAAAAAAAAAAAAAAAAAAAAAAAAAAAAAAAAAAAAQAAAHcBAAC41P5sOgAAAABfodl3AQAAiL6RLPx/AAAAAAAAAAAAAAkAAAAAAAAAAAAAAAAAAADIKm+1+38AAAAAAAAAAAAAAAAAAAAAAAA/PZlx7R8AADjW/mw6AAAAUI6h2XcBAAAAJVPOdwEAACAdTc53AQAAYNf+bAAAAAAAAAAAAAAAAAcAAAAAAAAA6HTl4HcBAACc1v5sOgAAANnW/mw6AAAAgbdqLPx/AAAw1v5sOgAAADDW/mwAAAAAAABXtft/AAAA4By2+38AACAdTc53AQAAu6ZuLPx/AABA1v5sOgAAANnW/mw6AAAAkLo04nc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eK0+38AAImMXLT7fwAAAAAAAPt/AACIvpEs/H8AAAAAAAAAAAAAkFvitPt/AAABAAAAAAAAACDj4rT7fwAAAAAAAAAAAAAAAAAAAAAAAP9MmXHtHwAAYaT+bDoAAAAQ8TT7dwEAAOD///8AAAAAIB1NzncBAAA4pv5sAAAAAAAAAAAAAAAABgAAAAAAAAAgAAAAAAAAAFyl/mw6AAAAmaX+bDoAAACBt2os/H8AAMADZ8t3AQAAAAAAAAAAAADApf5sOgAAADyFIbb7fwAAIB1NzncBAAC7pm4s/H8AAACl/mw6AAAAmaX+bDoAAABA0X/1d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K0+38AAIi+kSz8fwAAAAAAAAAAAACQgNz6dwEAAJCA3Pp3AQAAAAAAAAAAAAAAAAAAAAAAAAAAAAAAAAAAP0yZce0fAAC2clO0+38AANjz4rT7fwAA8P///wAAAAAgHU3OdwEAAHim/mwAAAAAAAAAAAAAAAAJAAAAAAAAACAAAAAAAAAAnKX+bDoAAADZpf5sOgAAAIG3aiz8fwAA2PPitPt/AADY8+K0AAAAAAgAAAAAAQAAAAAAAAAAAAAgHU3OdwEAALumbiz8fwAAQKX+bDoAAADZpf5sOgAAAID6J+d3AQAAAAAAAGR2AAgAAAAAJQAAAAwAAAAEAAAAGAAAAAwAAAAAAAAAEgAAAAwAAAABAAAAHgAAABgAAAApAAAAMwAAAJgAAABIAAAAJQAAAAwAAAAEAAAAVAAAAJQAAAAqAAAAMwAAAJYAAABHAAAAAQAAANF2yUGrCslBKgAAADMAAAAMAAAATAAAAAAAAAAAAAAAAAAAAP//////////ZAAAAEwAQQBVAFIAQQAgAFYAQQBMAEQARQBaAAgAAAAKAAAACwAAAAoAAAAKAAAABAAAAAoAAAAKAAAACAAAAAsAAAAIAAAACQ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VAAAAXAAAAAEAAADRdslBqwrJQQoAAABQAAAADAAAAEwAAAAAAAAAAAAAAAAAAAD//////////2QAAABMAEEAVQBSAEEAIABWAEEATABEAEUAWgAFAAAABwAAAAgAAAAHAAAABwAAAAMAAAAHAAAABwAAAAUAAAAIAAAABgAAAAYAAABLAAAAQAAAADAAAAAFAAAAIAAAAAEAAAABAAAAEAAAAAAAAAAAAAAAKgEAAIAAAAAAAAAAAAAAAC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NAAAAbAAAAAEAAADRdslBqwrJQQoAAABgAAAACQAAAEwAAAAAAAAAAAAAAAAAAAD//////////2AAAABDAE8ATgBUAEEARABPAFIAQQDktgcAAAAJAAAACAAAAAYAAAAHAAAACAAAAAkAAAAHAAAABw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MwBiADQAMQA0AGIAMgBkAC0ANQBmADkAYgAtADQANQAxAGEALQA4ADMAZAAzAC0AMABhAGUANQBmADgAYQAwADAAMAA3ADYAFfQGAAAAAwAAAAQAAAAJAAAABgAAAAcAAAAHAAAAAwAAAAcAAAAHAAAABAAAAAMAAAADAAAABgAAAAcAAAAGAAAABgAAAAYAAAAHAAAABgAAAAcAAAAEAAAABgAAAAQAAAAGAAAABwAAAAQAAAAGAAAABgAAAAYAAAAGAAAABAAAAAYAAAAGAAAABwAAAAYAAAAEAAAABgAAAAYAAAAGAAAABgAAAAQAAAAGAAAABgAAAAYAAAAGAAAABg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273D66-6937-415A-92A6-ACCECBEDAB9A}">
  <ds:schemaRefs>
    <ds:schemaRef ds:uri="http://schemas.microsoft.com/office/2006/metadata/properties"/>
    <ds:schemaRef ds:uri="http://schemas.microsoft.com/office/infopath/2007/PartnerControls"/>
    <ds:schemaRef ds:uri="24882406-4053-4353-ac25-b343bab0f084"/>
  </ds:schemaRefs>
</ds:datastoreItem>
</file>

<file path=customXml/itemProps2.xml><?xml version="1.0" encoding="utf-8"?>
<ds:datastoreItem xmlns:ds="http://schemas.openxmlformats.org/officeDocument/2006/customXml" ds:itemID="{D0AA3BD4-0D13-45E5-952E-B84566923D37}">
  <ds:schemaRefs>
    <ds:schemaRef ds:uri="http://schemas.microsoft.com/sharepoint/v3/contenttype/forms"/>
  </ds:schemaRefs>
</ds:datastoreItem>
</file>

<file path=customXml/itemProps3.xml><?xml version="1.0" encoding="utf-8"?>
<ds:datastoreItem xmlns:ds="http://schemas.openxmlformats.org/officeDocument/2006/customXml" ds:itemID="{816A588F-5721-40DE-9F1F-7C7E557CAF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1</vt:i4>
      </vt:variant>
    </vt:vector>
  </HeadingPairs>
  <TitlesOfParts>
    <vt:vector size="49" baseType="lpstr">
      <vt:lpstr>Caratula</vt:lpstr>
      <vt:lpstr>Indice</vt:lpstr>
      <vt:lpstr>BG</vt:lpstr>
      <vt:lpstr>EVPN</vt:lpstr>
      <vt:lpstr>ER</vt:lpstr>
      <vt:lpstr>EFE</vt:lpstr>
      <vt:lpstr>Nota1</vt:lpstr>
      <vt:lpstr>Nota 2</vt:lpstr>
      <vt:lpstr>Nota 3</vt:lpstr>
      <vt:lpstr>Nota 4</vt:lpstr>
      <vt:lpstr>Nota 5</vt:lpstr>
      <vt:lpstr>Nota 6</vt:lpstr>
      <vt:lpstr>Nota 7</vt:lpstr>
      <vt:lpstr>Nota 8</vt:lpstr>
      <vt:lpstr>Nota 9</vt:lpstr>
      <vt:lpstr>Nota 10</vt:lpstr>
      <vt:lpstr>cred</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Monica Adorno - Contabilidad</cp:lastModifiedBy>
  <cp:revision/>
  <dcterms:created xsi:type="dcterms:W3CDTF">2019-05-02T15:06:12Z</dcterms:created>
  <dcterms:modified xsi:type="dcterms:W3CDTF">2022-11-10T12:44:18Z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0x010100AEFF9E5881DCE8479CD7D5DB32440A32</vt:lpwstr>
  </property>
</Properties>
</file>