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inpositivapy-my.sharepoint.com/personal/sady_pereira_inpositiva_com_py/Documents/19.Fondo Ganadero/Contabilidad/CNV/Informes 2022/06.2022/"/>
    </mc:Choice>
  </mc:AlternateContent>
  <xr:revisionPtr revIDLastSave="0" documentId="8_{B0B6B929-72DB-4E74-BC23-E87792AA713E}" xr6:coauthVersionLast="47" xr6:coauthVersionMax="47" xr10:uidLastSave="{00000000-0000-0000-0000-000000000000}"/>
  <bookViews>
    <workbookView xWindow="-108" yWindow="-108" windowWidth="23256" windowHeight="12576" tabRatio="808" xr2:uid="{00000000-000D-0000-FFFF-FFFF00000000}"/>
  </bookViews>
  <sheets>
    <sheet name="INDICE" sheetId="9" r:id="rId1"/>
    <sheet name="1.BG USD" sheetId="4" r:id="rId2"/>
    <sheet name="2.EERR USD" sheetId="3" r:id="rId3"/>
    <sheet name="3.VARIAC. PA USD" sheetId="2" r:id="rId4"/>
    <sheet name="Flujo de Fondos Calculo GS U$S" sheetId="15" state="hidden" r:id="rId5"/>
    <sheet name="4.FLUJO EFECTIVO USD" sheetId="1" r:id="rId6"/>
    <sheet name="5.BG G" sheetId="5" r:id="rId7"/>
    <sheet name="6.EERR G" sheetId="6" r:id="rId8"/>
    <sheet name="7.VARIAC. PN G" sheetId="7" r:id="rId9"/>
    <sheet name="Flujo de Fondos Calculo GS" sheetId="14" state="hidden" r:id="rId10"/>
    <sheet name="8.FLUJO EFECTIVO G" sheetId="8" r:id="rId11"/>
    <sheet name="9.INFORME DEL SINDICO" sheetId="10" state="hidden" r:id="rId12"/>
    <sheet name="9.Notas a EEFF" sheetId="11" r:id="rId13"/>
    <sheet name="10.Cuadro de Inversiones" sheetId="12" r:id="rId14"/>
  </sheets>
  <externalReferences>
    <externalReference r:id="rId15"/>
    <externalReference r:id="rId16"/>
    <externalReference r:id="rId17"/>
    <externalReference r:id="rId18"/>
    <externalReference r:id="rId19"/>
    <externalReference r:id="rId20"/>
  </externalReferences>
  <definedNames>
    <definedName name="_xlnm._FilterDatabase" localSheetId="13" hidden="1">'10.Cuadro de Inversiones'!$B$4:$P$19</definedName>
    <definedName name="_Hlk492023274" localSheetId="12">'9.Notas a EEFF'!$A$98</definedName>
    <definedName name="a" localSheetId="9">#REF!</definedName>
    <definedName name="a" localSheetId="4">#REF!</definedName>
    <definedName name="a">#REF!</definedName>
    <definedName name="aa">#REF!</definedName>
    <definedName name="_xlnm.Print_Area" localSheetId="9">'Flujo de Fondos Calculo GS'!$A$61:$E$93</definedName>
    <definedName name="_xlnm.Print_Area" localSheetId="4">'Flujo de Fondos Calculo GS U$S'!$A$61:$E$93</definedName>
    <definedName name="BuiltIn_Print_Area">[1]anexos!#REF!</definedName>
    <definedName name="BuiltIn_Print_Area___0">'[1]Balance General Resol 950'!#REF!</definedName>
    <definedName name="BuiltIn_Print_Area___0___0" localSheetId="9">#REF!</definedName>
    <definedName name="BuiltIn_Print_Area___0___0" localSheetId="4">#REF!</definedName>
    <definedName name="BuiltIn_Print_Area___0___0">#REF!</definedName>
    <definedName name="BuiltIn_Print_Area___0___0___0___0" localSheetId="9">'[2]Flujos de efectivo'!#REF!</definedName>
    <definedName name="BuiltIn_Print_Area___0___0___0___0" localSheetId="4">'[2]Flujos de efectivo'!#REF!</definedName>
    <definedName name="BuiltIn_Print_Area___0___0___0___0">'[3]Flujos de efectivo'!#REF!</definedName>
    <definedName name="BuiltIn_Print_Area___0___0___0___0___0" localSheetId="9">#REF!</definedName>
    <definedName name="BuiltIn_Print_Area___0___0___0___0___0" localSheetId="4">#REF!</definedName>
    <definedName name="BuiltIn_Print_Area___0___0___0___0___0">#REF!</definedName>
    <definedName name="Clientes">#REF!</definedName>
    <definedName name="DATA16">#REF!</definedName>
    <definedName name="DATA17">#REF!</definedName>
    <definedName name="DATA18">#REF!</definedName>
    <definedName name="DATA20">#REF!</definedName>
    <definedName name="datos">#REF!</definedName>
    <definedName name="k">#REF!</definedName>
    <definedName name="klkl">#REF!</definedName>
    <definedName name="klll">#REF!</definedName>
    <definedName name="ver">#REF!</definedName>
    <definedName name="verific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2" l="1"/>
  <c r="C25" i="12"/>
  <c r="C24" i="12"/>
  <c r="K19" i="12"/>
  <c r="C27" i="12"/>
  <c r="D26" i="12"/>
  <c r="D23" i="12"/>
  <c r="C141" i="11" l="1"/>
  <c r="C140" i="11"/>
  <c r="C139" i="11"/>
  <c r="C138" i="11"/>
  <c r="D104" i="11"/>
  <c r="C108" i="11"/>
  <c r="E108" i="11" s="1"/>
  <c r="D44" i="14" l="1"/>
  <c r="D37" i="14"/>
  <c r="C36" i="14" s="1"/>
  <c r="B36" i="14"/>
  <c r="C22" i="6"/>
  <c r="B50" i="15"/>
  <c r="C23" i="3"/>
  <c r="C20" i="3"/>
  <c r="C14" i="6"/>
  <c r="C12" i="6"/>
  <c r="C48" i="5"/>
  <c r="B30" i="14" s="1"/>
  <c r="C51" i="5"/>
  <c r="C45" i="5"/>
  <c r="C16" i="5"/>
  <c r="C10" i="5"/>
  <c r="D44" i="15"/>
  <c r="C36" i="15"/>
  <c r="B41" i="15"/>
  <c r="C20" i="6" l="1"/>
  <c r="C54" i="4"/>
  <c r="C45" i="4"/>
  <c r="C46" i="5" s="1"/>
  <c r="C27" i="4"/>
  <c r="C12" i="1"/>
  <c r="B46" i="15"/>
  <c r="D46" i="15" s="1"/>
  <c r="F41" i="15"/>
  <c r="B40" i="15"/>
  <c r="D40" i="15" s="1"/>
  <c r="F40" i="15" s="1"/>
  <c r="G40" i="15" s="1"/>
  <c r="B37" i="15"/>
  <c r="B35" i="15"/>
  <c r="F35" i="15" s="1"/>
  <c r="B30" i="15"/>
  <c r="F30" i="15" s="1"/>
  <c r="N30" i="15" s="1"/>
  <c r="B86" i="15" s="1"/>
  <c r="B16" i="15"/>
  <c r="B10" i="15"/>
  <c r="F10" i="15" s="1"/>
  <c r="L10" i="15" s="1"/>
  <c r="F11" i="15"/>
  <c r="J11" i="15" s="1"/>
  <c r="F12" i="15"/>
  <c r="G12" i="15" s="1"/>
  <c r="F14" i="15"/>
  <c r="D16" i="15"/>
  <c r="F18" i="15"/>
  <c r="F19" i="15"/>
  <c r="M19" i="15" s="1"/>
  <c r="F20" i="15"/>
  <c r="F21" i="15"/>
  <c r="M21" i="15" s="1"/>
  <c r="R21" i="15"/>
  <c r="R22" i="15"/>
  <c r="R23" i="15"/>
  <c r="F24" i="15"/>
  <c r="N24" i="15" s="1"/>
  <c r="B84" i="15" s="1"/>
  <c r="R24" i="15"/>
  <c r="C25" i="15"/>
  <c r="F25" i="15" s="1"/>
  <c r="G25" i="15" s="1"/>
  <c r="R25" i="15"/>
  <c r="P26" i="15"/>
  <c r="Q26" i="15"/>
  <c r="B27" i="15"/>
  <c r="F27" i="15" s="1"/>
  <c r="N27" i="15" s="1"/>
  <c r="F28" i="15"/>
  <c r="J28" i="15" s="1"/>
  <c r="F29" i="15"/>
  <c r="L29" i="15"/>
  <c r="F31" i="15"/>
  <c r="N31" i="15" s="1"/>
  <c r="F32" i="15"/>
  <c r="F33" i="15"/>
  <c r="F34" i="15"/>
  <c r="F36" i="15"/>
  <c r="N36" i="15" s="1"/>
  <c r="B85" i="15" s="1"/>
  <c r="F42" i="15"/>
  <c r="M42" i="15" s="1"/>
  <c r="F43" i="15"/>
  <c r="M43" i="15"/>
  <c r="F45" i="15"/>
  <c r="K45" i="15" s="1"/>
  <c r="K58" i="15" s="1"/>
  <c r="B66" i="15" s="1"/>
  <c r="F48" i="15"/>
  <c r="L48" i="15" s="1"/>
  <c r="F49" i="15"/>
  <c r="L49" i="15" s="1"/>
  <c r="F50" i="15"/>
  <c r="L50" i="15" s="1"/>
  <c r="F51" i="15"/>
  <c r="N51" i="15" s="1"/>
  <c r="F55" i="15"/>
  <c r="L55" i="15" s="1"/>
  <c r="C91" i="15"/>
  <c r="F14" i="14"/>
  <c r="D13" i="14"/>
  <c r="B37" i="14"/>
  <c r="B35" i="14"/>
  <c r="F35" i="14" s="1"/>
  <c r="F30" i="14"/>
  <c r="N30" i="14" s="1"/>
  <c r="B86" i="14" s="1"/>
  <c r="F11" i="14"/>
  <c r="J11" i="14" s="1"/>
  <c r="F12" i="14"/>
  <c r="G12" i="14" s="1"/>
  <c r="F18" i="14"/>
  <c r="F19" i="14"/>
  <c r="M19" i="14" s="1"/>
  <c r="F20" i="14"/>
  <c r="F21" i="14"/>
  <c r="M21" i="14" s="1"/>
  <c r="R21" i="14"/>
  <c r="R22" i="14"/>
  <c r="R23" i="14"/>
  <c r="F24" i="14"/>
  <c r="N24" i="14" s="1"/>
  <c r="R24" i="14"/>
  <c r="C25" i="14"/>
  <c r="F25" i="14" s="1"/>
  <c r="G25" i="14" s="1"/>
  <c r="R25" i="14"/>
  <c r="P26" i="14"/>
  <c r="Q26" i="14"/>
  <c r="B27" i="14"/>
  <c r="F27" i="14" s="1"/>
  <c r="N27" i="14" s="1"/>
  <c r="F28" i="14"/>
  <c r="J28" i="14" s="1"/>
  <c r="F29" i="14"/>
  <c r="L29" i="14" s="1"/>
  <c r="F31" i="14"/>
  <c r="N31" i="14"/>
  <c r="F32" i="14"/>
  <c r="F33" i="14"/>
  <c r="F34" i="14"/>
  <c r="F36" i="14"/>
  <c r="N36" i="14" s="1"/>
  <c r="B85" i="14" s="1"/>
  <c r="F42" i="14"/>
  <c r="M42" i="14" s="1"/>
  <c r="F43" i="14"/>
  <c r="M43" i="14"/>
  <c r="F45" i="14"/>
  <c r="K45" i="14" s="1"/>
  <c r="K58" i="14" s="1"/>
  <c r="B66" i="14" s="1"/>
  <c r="F48" i="14"/>
  <c r="L48" i="14" s="1"/>
  <c r="F49" i="14"/>
  <c r="L49" i="14" s="1"/>
  <c r="F50" i="14"/>
  <c r="L50" i="14" s="1"/>
  <c r="F51" i="14"/>
  <c r="N51" i="14" s="1"/>
  <c r="F55" i="14"/>
  <c r="L55" i="14" s="1"/>
  <c r="C91" i="14"/>
  <c r="C11" i="8" s="1"/>
  <c r="C25" i="5" l="1"/>
  <c r="B13" i="15"/>
  <c r="F13" i="15" s="1"/>
  <c r="L13" i="15" s="1"/>
  <c r="H58" i="15"/>
  <c r="B64" i="15" s="1"/>
  <c r="G41" i="15"/>
  <c r="J58" i="15"/>
  <c r="B68" i="15" s="1"/>
  <c r="R26" i="14"/>
  <c r="R26" i="15"/>
  <c r="C16" i="15"/>
  <c r="F16" i="15" s="1"/>
  <c r="M16" i="15" s="1"/>
  <c r="B72" i="15" s="1"/>
  <c r="C26" i="15"/>
  <c r="F46" i="15"/>
  <c r="L46" i="15" s="1"/>
  <c r="N58" i="15"/>
  <c r="C88" i="15"/>
  <c r="C25" i="1" s="1"/>
  <c r="J58" i="14"/>
  <c r="B68" i="14" s="1"/>
  <c r="N58" i="14"/>
  <c r="B84" i="14"/>
  <c r="C88" i="14" s="1"/>
  <c r="C25" i="8" s="1"/>
  <c r="C26" i="12" l="1"/>
  <c r="E26" i="12" s="1"/>
  <c r="D23" i="3"/>
  <c r="C12" i="4"/>
  <c r="B9" i="15" s="1"/>
  <c r="C155" i="11"/>
  <c r="D139" i="11"/>
  <c r="D138" i="11"/>
  <c r="D142" i="11" s="1"/>
  <c r="F9" i="15" l="1"/>
  <c r="O9" i="15" s="1"/>
  <c r="D92" i="15"/>
  <c r="C23" i="12"/>
  <c r="C22" i="12" l="1"/>
  <c r="K23" i="12" s="1"/>
  <c r="E23" i="12"/>
  <c r="C82" i="11"/>
  <c r="C81" i="11"/>
  <c r="C16" i="7" l="1"/>
  <c r="C8" i="7"/>
  <c r="C19" i="6"/>
  <c r="C18" i="6"/>
  <c r="C17" i="6"/>
  <c r="C13" i="6"/>
  <c r="B40" i="14" s="1"/>
  <c r="C11" i="6"/>
  <c r="B9" i="14"/>
  <c r="D49" i="5"/>
  <c r="D52" i="5" s="1"/>
  <c r="D47" i="5"/>
  <c r="D37" i="5"/>
  <c r="D39" i="5" s="1"/>
  <c r="D40" i="5" s="1"/>
  <c r="C49" i="5"/>
  <c r="D16" i="7" s="1"/>
  <c r="C6" i="5"/>
  <c r="C20" i="5" s="1"/>
  <c r="B10" i="14" s="1"/>
  <c r="F10" i="14" s="1"/>
  <c r="L10" i="14" s="1"/>
  <c r="C15" i="5"/>
  <c r="C14" i="5"/>
  <c r="C16" i="2"/>
  <c r="D49" i="4"/>
  <c r="D38" i="4"/>
  <c r="D39" i="4" s="1"/>
  <c r="D40" i="4" s="1"/>
  <c r="F47" i="14" l="1"/>
  <c r="L47" i="14" s="1"/>
  <c r="B47" i="14"/>
  <c r="C15" i="6"/>
  <c r="B41" i="14"/>
  <c r="F41" i="14" s="1"/>
  <c r="B46" i="14"/>
  <c r="D46" i="14" s="1"/>
  <c r="C26" i="14" s="1"/>
  <c r="C11" i="7"/>
  <c r="F9" i="14"/>
  <c r="O9" i="14" s="1"/>
  <c r="D92" i="14"/>
  <c r="D40" i="14"/>
  <c r="F40" i="14" s="1"/>
  <c r="G40" i="14" s="1"/>
  <c r="D8" i="7"/>
  <c r="D15" i="7" s="1"/>
  <c r="D41" i="5"/>
  <c r="D53" i="5"/>
  <c r="C37" i="5"/>
  <c r="C39" i="5" s="1"/>
  <c r="B17" i="14" s="1"/>
  <c r="F17" i="14" s="1"/>
  <c r="M17" i="14" s="1"/>
  <c r="B73" i="14" s="1"/>
  <c r="C32" i="5"/>
  <c r="C19" i="5"/>
  <c r="C21" i="5"/>
  <c r="B13" i="14" s="1"/>
  <c r="C49" i="4"/>
  <c r="D16" i="2" s="1"/>
  <c r="E17" i="2" s="1"/>
  <c r="B47" i="15"/>
  <c r="F47" i="15" s="1"/>
  <c r="L47" i="15" s="1"/>
  <c r="F46" i="14" l="1"/>
  <c r="L46" i="14" s="1"/>
  <c r="H58" i="14"/>
  <c r="B64" i="14" s="1"/>
  <c r="G41" i="14"/>
  <c r="B44" i="15"/>
  <c r="C21" i="6"/>
  <c r="C23" i="6" s="1"/>
  <c r="F13" i="14"/>
  <c r="L13" i="14" s="1"/>
  <c r="C16" i="14"/>
  <c r="D55" i="5"/>
  <c r="C107" i="11"/>
  <c r="E107" i="11" s="1"/>
  <c r="C105" i="11"/>
  <c r="E105" i="11" s="1"/>
  <c r="C38" i="4"/>
  <c r="B17" i="15" s="1"/>
  <c r="F17" i="15" s="1"/>
  <c r="M17" i="15" s="1"/>
  <c r="B73" i="15" s="1"/>
  <c r="D52" i="4"/>
  <c r="D55" i="4" s="1"/>
  <c r="D56" i="4" s="1"/>
  <c r="B44" i="14" l="1"/>
  <c r="F44" i="14" s="1"/>
  <c r="F44" i="15"/>
  <c r="B56" i="15"/>
  <c r="D53" i="4"/>
  <c r="B21" i="6"/>
  <c r="B12" i="6"/>
  <c r="B13" i="6"/>
  <c r="B11" i="6"/>
  <c r="C34" i="5"/>
  <c r="B19" i="5"/>
  <c r="C26" i="5"/>
  <c r="B21" i="5"/>
  <c r="B24" i="5"/>
  <c r="B25" i="5"/>
  <c r="G58" i="14" l="1"/>
  <c r="B63" i="14" s="1"/>
  <c r="C15" i="8" s="1"/>
  <c r="I44" i="14"/>
  <c r="G58" i="15"/>
  <c r="B63" i="15" s="1"/>
  <c r="C16" i="1" s="1"/>
  <c r="I44" i="15"/>
  <c r="B56" i="14"/>
  <c r="B59" i="14" s="1"/>
  <c r="B59" i="15"/>
  <c r="B57" i="15"/>
  <c r="D56" i="15"/>
  <c r="C40" i="5"/>
  <c r="B15" i="14"/>
  <c r="F15" i="14" s="1"/>
  <c r="M15" i="14" s="1"/>
  <c r="B74" i="14" s="1"/>
  <c r="B57" i="14" l="1"/>
  <c r="D56" i="14"/>
  <c r="F56" i="14" s="1"/>
  <c r="L56" i="14" s="1"/>
  <c r="C37" i="15"/>
  <c r="D58" i="15"/>
  <c r="F56" i="15"/>
  <c r="L56" i="15" s="1"/>
  <c r="C15" i="3"/>
  <c r="C22" i="4"/>
  <c r="B155" i="11"/>
  <c r="C142" i="11"/>
  <c r="C106" i="11"/>
  <c r="E106" i="11" s="1"/>
  <c r="C104" i="11"/>
  <c r="E104" i="11" s="1"/>
  <c r="D89" i="11"/>
  <c r="D88" i="11"/>
  <c r="B49" i="5"/>
  <c r="B48" i="5"/>
  <c r="B20" i="5"/>
  <c r="C22" i="5"/>
  <c r="B18" i="5"/>
  <c r="B16" i="5"/>
  <c r="D58" i="14" l="1"/>
  <c r="C37" i="14"/>
  <c r="C58" i="14" s="1"/>
  <c r="C24" i="3"/>
  <c r="F37" i="15"/>
  <c r="C58" i="15"/>
  <c r="F58" i="15" s="1"/>
  <c r="C109" i="11"/>
  <c r="C110" i="11" s="1"/>
  <c r="F37" i="14" l="1"/>
  <c r="F58" i="14"/>
  <c r="C27" i="3"/>
  <c r="D59" i="14"/>
  <c r="D59" i="15"/>
  <c r="E109" i="11"/>
  <c r="C8" i="2"/>
  <c r="C17" i="4" l="1"/>
  <c r="C28" i="4" s="1"/>
  <c r="D14" i="7" l="1"/>
  <c r="E20" i="1"/>
  <c r="E26" i="1"/>
  <c r="E24" i="8" l="1"/>
  <c r="E17" i="8"/>
  <c r="E15" i="8"/>
  <c r="E11" i="8"/>
  <c r="D13" i="7"/>
  <c r="E89" i="11" l="1"/>
  <c r="E26" i="8"/>
  <c r="G44" i="4"/>
  <c r="F14" i="4"/>
  <c r="D20" i="6"/>
  <c r="D19" i="6"/>
  <c r="D17" i="6"/>
  <c r="D12" i="6"/>
  <c r="D11" i="6"/>
  <c r="C18" i="8" l="1"/>
  <c r="E88" i="11" l="1"/>
  <c r="E19" i="8"/>
  <c r="E27" i="8" s="1"/>
  <c r="D15" i="6"/>
  <c r="D23" i="6"/>
  <c r="C33" i="4"/>
  <c r="C46" i="4"/>
  <c r="B26" i="15" s="1"/>
  <c r="C10" i="9"/>
  <c r="C156" i="11"/>
  <c r="B156" i="11"/>
  <c r="D15" i="3"/>
  <c r="E8" i="8"/>
  <c r="C8" i="8"/>
  <c r="D7" i="6"/>
  <c r="C7" i="6"/>
  <c r="D7" i="5"/>
  <c r="C7" i="5"/>
  <c r="D7" i="4"/>
  <c r="C7" i="4"/>
  <c r="D7" i="3"/>
  <c r="C7" i="3"/>
  <c r="E8" i="1"/>
  <c r="C8" i="1"/>
  <c r="O4" i="9"/>
  <c r="E12" i="7"/>
  <c r="C47" i="5"/>
  <c r="B26" i="14" s="1"/>
  <c r="C52" i="4"/>
  <c r="C55" i="4" s="1"/>
  <c r="E12" i="2"/>
  <c r="E13" i="7"/>
  <c r="E13" i="2"/>
  <c r="B38" i="15" l="1"/>
  <c r="F26" i="15"/>
  <c r="C39" i="4"/>
  <c r="B15" i="15"/>
  <c r="C56" i="4"/>
  <c r="B38" i="14"/>
  <c r="F38" i="14" s="1"/>
  <c r="F26" i="14"/>
  <c r="C53" i="4"/>
  <c r="E27" i="1"/>
  <c r="C52" i="5"/>
  <c r="C53" i="5" s="1"/>
  <c r="C24" i="6"/>
  <c r="C26" i="6" s="1"/>
  <c r="D24" i="3"/>
  <c r="D24" i="6"/>
  <c r="L58" i="14" l="1"/>
  <c r="B67" i="14" s="1"/>
  <c r="C70" i="14" s="1"/>
  <c r="I26" i="14"/>
  <c r="I58" i="14" s="1"/>
  <c r="B65" i="14" s="1"/>
  <c r="L58" i="15"/>
  <c r="B67" i="15" s="1"/>
  <c r="I26" i="15"/>
  <c r="I58" i="15" s="1"/>
  <c r="B65" i="15" s="1"/>
  <c r="F15" i="15"/>
  <c r="M15" i="15" s="1"/>
  <c r="B22" i="15"/>
  <c r="B39" i="15" s="1"/>
  <c r="F38" i="15"/>
  <c r="C12" i="5"/>
  <c r="C17" i="8" l="1"/>
  <c r="C19" i="8" s="1"/>
  <c r="C18" i="1"/>
  <c r="C20" i="1"/>
  <c r="C70" i="15"/>
  <c r="M58" i="15"/>
  <c r="O58" i="15" s="1"/>
  <c r="B74" i="15"/>
  <c r="C80" i="15" s="1"/>
  <c r="C40" i="4"/>
  <c r="B23" i="15" s="1"/>
  <c r="F23" i="15" s="1"/>
  <c r="D8" i="2"/>
  <c r="D15" i="2" s="1"/>
  <c r="F12" i="4"/>
  <c r="G12" i="4" s="1"/>
  <c r="D90" i="15" l="1"/>
  <c r="O59" i="15"/>
  <c r="C24" i="1"/>
  <c r="C26" i="1" s="1"/>
  <c r="C27" i="1" s="1"/>
  <c r="C28" i="1" s="1"/>
  <c r="C90" i="15"/>
  <c r="C92" i="15" s="1"/>
  <c r="E92" i="15" s="1"/>
  <c r="E8" i="2"/>
  <c r="E90" i="15" l="1"/>
  <c r="E17" i="7"/>
  <c r="E8" i="7"/>
  <c r="C17" i="5" l="1"/>
  <c r="C28" i="5" s="1"/>
  <c r="C41" i="5" s="1"/>
  <c r="B16" i="14"/>
  <c r="C11" i="2"/>
  <c r="C55" i="5" l="1"/>
  <c r="C54" i="5"/>
  <c r="F16" i="14"/>
  <c r="M16" i="14" s="1"/>
  <c r="B22" i="14"/>
  <c r="B23" i="14" l="1"/>
  <c r="F23" i="14" s="1"/>
  <c r="B39" i="14"/>
  <c r="B72" i="14"/>
  <c r="C80" i="14" s="1"/>
  <c r="M58" i="14"/>
  <c r="O58" i="14" s="1"/>
  <c r="C24" i="8" l="1"/>
  <c r="C26" i="8" s="1"/>
  <c r="C27" i="8" s="1"/>
  <c r="C90" i="14"/>
  <c r="C92" i="14" s="1"/>
  <c r="E92" i="14" s="1"/>
  <c r="O59" i="14"/>
  <c r="D90" i="14"/>
  <c r="C29" i="8" l="1"/>
  <c r="C28" i="8"/>
  <c r="E9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5" authorId="0" shapeId="0" xr:uid="{ED5A282E-0C35-4F3B-BA69-632724F2A6C7}">
      <text>
        <r>
          <rPr>
            <b/>
            <sz val="10"/>
            <color rgb="FF000000"/>
            <rFont val="Tahoma"/>
            <family val="2"/>
          </rPr>
          <t>Microsoft Office User:</t>
        </r>
        <r>
          <rPr>
            <sz val="10"/>
            <color rgb="FF000000"/>
            <rFont val="Tahoma"/>
            <family val="2"/>
          </rPr>
          <t xml:space="preserve">
</t>
        </r>
        <r>
          <rPr>
            <sz val="10"/>
            <color rgb="FF000000"/>
            <rFont val="Tahoma"/>
            <family val="2"/>
          </rPr>
          <t xml:space="preserve">La Casa de Bolsa brinda servicios de INTERMEDIACION 
</t>
        </r>
        <r>
          <rPr>
            <sz val="10"/>
            <color rgb="FF000000"/>
            <rFont val="Tahoma"/>
            <family val="2"/>
          </rPr>
          <t xml:space="preserve">Por ello los ingresos netos:
</t>
        </r>
        <r>
          <rPr>
            <sz val="10"/>
            <color rgb="FF000000"/>
            <rFont val="Tahoma"/>
            <family val="2"/>
          </rPr>
          <t xml:space="preserve">Importe reciibido de clientes mas Ingresos por intermediacion  menos pagos de clientes, costos de servicios
</t>
        </r>
      </text>
    </comment>
    <comment ref="E7" authorId="0" shapeId="0" xr:uid="{5977D42B-42C5-4D10-9FC1-C87F3F4FBB7F}">
      <text>
        <r>
          <rPr>
            <b/>
            <sz val="10"/>
            <color rgb="FF000000"/>
            <rFont val="Tahoma"/>
            <family val="2"/>
          </rPr>
          <t>Microsoft Office User:</t>
        </r>
        <r>
          <rPr>
            <sz val="10"/>
            <color rgb="FF000000"/>
            <rFont val="Tahoma"/>
            <family val="2"/>
          </rPr>
          <t xml:space="preserve">
</t>
        </r>
        <r>
          <rPr>
            <sz val="10"/>
            <color rgb="FF000000"/>
            <rFont val="Tahoma"/>
            <family val="2"/>
          </rPr>
          <t>Fijate siempre que los Datos correspondan al AÑO ANTERIOR....sumas globales u particulares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Sady Pereira</author>
  </authors>
  <commentList>
    <comment ref="G5" authorId="0" shapeId="0" xr:uid="{3149DA30-6703-4AE2-8A79-FAE5B7CD9547}">
      <text>
        <r>
          <rPr>
            <b/>
            <sz val="10"/>
            <color rgb="FF000000"/>
            <rFont val="Tahoma"/>
            <family val="2"/>
          </rPr>
          <t>Microsoft Office User:</t>
        </r>
        <r>
          <rPr>
            <sz val="10"/>
            <color rgb="FF000000"/>
            <rFont val="Tahoma"/>
            <family val="2"/>
          </rPr>
          <t xml:space="preserve">
</t>
        </r>
        <r>
          <rPr>
            <sz val="10"/>
            <color rgb="FF000000"/>
            <rFont val="Tahoma"/>
            <family val="2"/>
          </rPr>
          <t xml:space="preserve">La Casa de Bolsa brinda servicios de INTERMEDIACION 
</t>
        </r>
        <r>
          <rPr>
            <sz val="10"/>
            <color rgb="FF000000"/>
            <rFont val="Tahoma"/>
            <family val="2"/>
          </rPr>
          <t xml:space="preserve">Por ello los ingresos netos:
</t>
        </r>
        <r>
          <rPr>
            <sz val="10"/>
            <color rgb="FF000000"/>
            <rFont val="Tahoma"/>
            <family val="2"/>
          </rPr>
          <t xml:space="preserve">Importe reciibido de clientes mas Ingresos por intermediacion  menos pagos de clientes, costos de servicios
</t>
        </r>
      </text>
    </comment>
    <comment ref="E7" authorId="0" shapeId="0" xr:uid="{F72A4B62-E239-4DB7-BD88-A2132F8F1CB0}">
      <text>
        <r>
          <rPr>
            <b/>
            <sz val="10"/>
            <color rgb="FF000000"/>
            <rFont val="Tahoma"/>
            <family val="2"/>
          </rPr>
          <t>Microsoft Office User:</t>
        </r>
        <r>
          <rPr>
            <sz val="10"/>
            <color rgb="FF000000"/>
            <rFont val="Tahoma"/>
            <family val="2"/>
          </rPr>
          <t xml:space="preserve">
</t>
        </r>
        <r>
          <rPr>
            <sz val="10"/>
            <color rgb="FF000000"/>
            <rFont val="Tahoma"/>
            <family val="2"/>
          </rPr>
          <t>Fijate siempre que los Datos correspondan al AÑO ANTERIOR....sumas globales u particulares</t>
        </r>
      </text>
    </comment>
    <comment ref="D40" authorId="1" shapeId="0" xr:uid="{2D9A9821-747D-4B0A-8504-3B89F4623A9D}">
      <text>
        <r>
          <rPr>
            <b/>
            <sz val="9"/>
            <color indexed="81"/>
            <rFont val="Tahoma"/>
            <family val="2"/>
          </rPr>
          <t>Sady Pereira:</t>
        </r>
        <r>
          <rPr>
            <sz val="9"/>
            <color indexed="81"/>
            <rFont val="Tahoma"/>
            <family val="2"/>
          </rPr>
          <t xml:space="preserve">
Valuación AB
</t>
        </r>
      </text>
    </comment>
    <comment ref="D44" authorId="1" shapeId="0" xr:uid="{D3DAC264-0F33-4643-AA5F-1425EAE6F200}">
      <text>
        <r>
          <rPr>
            <b/>
            <sz val="9"/>
            <color indexed="81"/>
            <rFont val="Tahoma"/>
            <family val="2"/>
          </rPr>
          <t>Sady Pereira:</t>
        </r>
        <r>
          <rPr>
            <sz val="9"/>
            <color indexed="81"/>
            <rFont val="Tahoma"/>
            <family val="2"/>
          </rPr>
          <t xml:space="preserve">
Mortandad</t>
        </r>
      </text>
    </comment>
    <comment ref="D46" authorId="1" shapeId="0" xr:uid="{4410DF27-7D2D-4E30-9FC8-19FC5F1C9D74}">
      <text>
        <r>
          <rPr>
            <b/>
            <sz val="9"/>
            <color indexed="81"/>
            <rFont val="Tahoma"/>
            <family val="2"/>
          </rPr>
          <t>Sady Pereira:</t>
        </r>
        <r>
          <rPr>
            <sz val="9"/>
            <color indexed="81"/>
            <rFont val="Tahoma"/>
            <family val="2"/>
          </rPr>
          <t xml:space="preserve">
Provision de Comisiones AFPISA</t>
        </r>
      </text>
    </comment>
    <comment ref="D47" authorId="1" shapeId="0" xr:uid="{4A120070-35DF-41FA-9030-0C7E40DB49F6}">
      <text>
        <r>
          <rPr>
            <b/>
            <sz val="9"/>
            <color indexed="81"/>
            <rFont val="Tahoma"/>
            <family val="2"/>
          </rPr>
          <t>Sady Pereira:</t>
        </r>
        <r>
          <rPr>
            <sz val="9"/>
            <color indexed="81"/>
            <rFont val="Tahoma"/>
            <family val="2"/>
          </rPr>
          <t xml:space="preserve">
Devengamientos Gastos Pagad x Adelantado
</t>
        </r>
      </text>
    </comment>
  </commentList>
</comments>
</file>

<file path=xl/sharedStrings.xml><?xml version="1.0" encoding="utf-8"?>
<sst xmlns="http://schemas.openxmlformats.org/spreadsheetml/2006/main" count="654" uniqueCount="379">
  <si>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</si>
  <si>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</si>
  <si>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</si>
  <si>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</si>
  <si>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</si>
  <si>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</si>
  <si>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</si>
  <si>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</si>
  <si>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</si>
  <si>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</si>
  <si>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</si>
  <si>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</si>
  <si>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</si>
  <si>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</si>
  <si>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</si>
  <si>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</si>
  <si>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</si>
  <si>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</si>
  <si>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</si>
  <si>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</si>
  <si>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</si>
  <si>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</si>
  <si>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</si>
  <si>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</si>
  <si>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</si>
  <si>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</si>
  <si>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</si>
  <si>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</si>
  <si>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</si>
  <si>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</si>
  <si>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</si>
  <si>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</si>
  <si>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</si>
  <si>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</si>
  <si>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</si>
  <si>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</si>
  <si>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</si>
  <si>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ACTIVOS</t>
  </si>
  <si>
    <t>ACTIVO CORRIENTE</t>
  </si>
  <si>
    <t>DISPONIBILIDADES</t>
  </si>
  <si>
    <t>Valores al cobro  (Nota    )</t>
  </si>
  <si>
    <t xml:space="preserve">INVERSIONES </t>
  </si>
  <si>
    <t>Titulo de Renta fija (Nota    )</t>
  </si>
  <si>
    <t>Titulo de Renta Variable</t>
  </si>
  <si>
    <t>ACTIVO NO CORRIENTE</t>
  </si>
  <si>
    <t>Total de Activo Bruto</t>
  </si>
  <si>
    <t xml:space="preserve">PASIVOS </t>
  </si>
  <si>
    <t xml:space="preserve">PASIVO </t>
  </si>
  <si>
    <t>ACREEDORES POR OPERACIONES</t>
  </si>
  <si>
    <t>Comisiones a Pagar a la Administradora</t>
  </si>
  <si>
    <t xml:space="preserve">Total Pasivo </t>
  </si>
  <si>
    <t>TOTAL PATRIMONIO</t>
  </si>
  <si>
    <t>TOTAL PASIVO Y PATRIMONIO NETO</t>
  </si>
  <si>
    <t>CANTIDAD CUOTAS PARTE</t>
  </si>
  <si>
    <t>VALOR CUOTA</t>
  </si>
  <si>
    <t>TOTAL ACTIVO NETO</t>
  </si>
  <si>
    <t>(EN MONEDA LOCAL)</t>
  </si>
  <si>
    <t>TOTAL ACTIVO CORRIENTE</t>
  </si>
  <si>
    <t>(Moneda Local)</t>
  </si>
  <si>
    <t>Diferencia de Cambio saldo inicial de caja y bancos</t>
  </si>
  <si>
    <t>Desde</t>
  </si>
  <si>
    <t>Tipo de cambio Vendedor</t>
  </si>
  <si>
    <t>Comparativo</t>
  </si>
  <si>
    <t>Tipo de cambio Comprador</t>
  </si>
  <si>
    <t>FECHA DE REPORTE</t>
  </si>
  <si>
    <t>Estados Financieros</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</si>
  <si>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</si>
  <si>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</si>
  <si>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</si>
  <si>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</si>
  <si>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</si>
  <si>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</si>
  <si>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</si>
  <si>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</si>
  <si>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</si>
  <si>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</si>
  <si>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</si>
  <si>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USD</t>
  </si>
  <si>
    <t>Causa de las Variaciones de efectivo</t>
  </si>
  <si>
    <t>Aumento o disminucion intereses a cobrar</t>
  </si>
  <si>
    <t>NOTAS A LOS ESTADOS CONTABLES</t>
  </si>
  <si>
    <t>INFORME DEL SINDICO</t>
  </si>
  <si>
    <t>Señores accionistas de</t>
  </si>
  <si>
    <t>Es mi informe.</t>
  </si>
  <si>
    <t>Juan José Talavera</t>
  </si>
  <si>
    <t>Síndico Titular</t>
  </si>
  <si>
    <t>CARACTERISTICAS DE LA EMISIÓN DE CUOTAS DE PARTICIPACIÓN</t>
  </si>
  <si>
    <t>Condiciones de compra de cuotas del fondo:</t>
  </si>
  <si>
    <t>Nota  2 – Información sobre la Administradora</t>
  </si>
  <si>
    <t>Nota 3.- Principales políticas y prácticas contables aplicadas.</t>
  </si>
  <si>
    <t xml:space="preserve">3.2. La moneda de cuenta </t>
  </si>
  <si>
    <t>3.3 Política de Constitución de Previsiones:</t>
  </si>
  <si>
    <t>3.5 – Valuación de las Inversiones</t>
  </si>
  <si>
    <t>3.6 Política de Reconocimiento de Ingresos:</t>
  </si>
  <si>
    <t xml:space="preserve">3.7  Flujo de Efectivo  </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</si>
  <si>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</si>
  <si>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</si>
  <si>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</si>
  <si>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</si>
  <si>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</si>
  <si>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</si>
  <si>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</si>
  <si>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</si>
  <si>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</si>
  <si>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</si>
  <si>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</si>
  <si>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</si>
  <si>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</si>
  <si>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</si>
  <si>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</si>
  <si>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</si>
  <si>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</si>
  <si>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</si>
  <si>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</si>
  <si>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</si>
  <si>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</si>
  <si>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</si>
  <si>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</si>
  <si>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</si>
  <si>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</si>
  <si>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</si>
  <si>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</si>
  <si>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</si>
  <si>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</si>
  <si>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</si>
  <si>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</si>
  <si>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</si>
  <si>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</si>
  <si>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</si>
  <si>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</si>
  <si>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</si>
  <si>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4.3 – ACREEDORES  POR OPERACIONES</t>
  </si>
  <si>
    <t>Comisión por Administración ( en usd)</t>
  </si>
  <si>
    <t xml:space="preserve">       4.2 INVERSIONES</t>
  </si>
  <si>
    <t>Emisor</t>
  </si>
  <si>
    <t>Fecha de vencimiento</t>
  </si>
  <si>
    <t>Monto</t>
  </si>
  <si>
    <t>CDA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</si>
  <si>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</si>
  <si>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</si>
  <si>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</si>
  <si>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</si>
  <si>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</si>
  <si>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</si>
  <si>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</si>
  <si>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</si>
  <si>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</si>
  <si>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</si>
  <si>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</si>
  <si>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Paraguay</t>
  </si>
  <si>
    <t>4.2 INVERSIONES</t>
  </si>
  <si>
    <t>Ver Cuadro</t>
  </si>
  <si>
    <t>Suscripciones (*)</t>
  </si>
  <si>
    <t>Comisión por Aranceles y corretajes</t>
  </si>
  <si>
    <t>Pérdida en Operaciones</t>
  </si>
  <si>
    <t>No aplica</t>
  </si>
  <si>
    <t>4.4 – COMISIONES A PAGAR A LA ADMINISTRADORA</t>
  </si>
  <si>
    <t>Valores al cobro  (Nota 4.1 )</t>
  </si>
  <si>
    <t>Titulo de Renta fija (Nota 4.2 )</t>
  </si>
  <si>
    <t>Las cinco (5) Notas que se acompañan son parte integrante de de estos Estados Financieros</t>
  </si>
  <si>
    <t>Comisión por Corretaje y Aranceles</t>
  </si>
  <si>
    <t>Resultados Distribuidos</t>
  </si>
  <si>
    <t>Resultados acumulados Distrib</t>
  </si>
  <si>
    <t>Nota 5. HECHOS POSTERIORES AL CIERRE</t>
  </si>
  <si>
    <t>Resultados Acumulados</t>
  </si>
  <si>
    <t xml:space="preserve">Resultados acumulados  </t>
  </si>
  <si>
    <t>Efectivos en moneda estranjera depositadas en las cuentas bancarias y Casa de Bolsa</t>
  </si>
  <si>
    <t>Fondo de Inversión IN Ganadero Dólares Americanos</t>
  </si>
  <si>
    <t>FONDO DE INVERSIÓN IN GANADERO DÓLARES AMERICANOS</t>
  </si>
  <si>
    <t xml:space="preserve">Nota  1 – INFORMACIÓN BÁSICA DEL FONDO DE INVERSIÓN IN GANADERO DÓLARES AMERICANOS </t>
  </si>
  <si>
    <t>Objetivo principal del Fondo: El Fondo tendrá como objetivo principal invertir en el negocio ganadero, mediante la compra de desmamantes machos y hembras para su engorde, terminación y posterior comercialización. Las ventas provenientes de estos activos biológicos constituirán la principal fuente de ingresos del Fondo.
Está enfocado a los inversionistas que aspiran tener rendimientos superiores a las inversiones tradicionales asumiendo un riesgo moderado, y un perfil conservador, con disponibilidad del retorno de la inversión ajustado al ciclo de producción de invernada.
El Fondo, ofrece a los inversores exposición directa al sector ganadero a través de invertir en inversiones respaldadas por activos reales, a su vez entregará a sus participes la oportunidad de invertir en la economía real del país, mediante el desarrollo de actividades ganaderas, contribuyendo al crecimiento de este sector y al mismo tiempo ofrecer una rentabilidad atractiva a mediano y largo plazo.
Las inversiones del Fondo se efectuarán dentro del territorio Nacional, específicamente en la zona del Chaco Paraguayo. Los activos biológicos en los cuales invierta el Fondo serán registrados en el registro de marcas y señales de ganado del territorio nacional a nombre del Fondo.
El Fondo tendrá la potestad de firmar contratos de arrendamientos y subarrendamientos para la consecución del negocio.</t>
  </si>
  <si>
    <t>El Fondo tiene un objetivo de rendimiento del 8%, no obstante, el Fondo no garantiza su rentabilidad.                                                                               
Para dar cumplimiento a lo señalado en el número 1. Precedente, y dar cumplimiento con sus objetivos, el Fondo Invertirá sus recursos de acuerdo con los siguientes límites y criterios:                                                                                                                                                                                                                                          
En desmamantes machos y hembras con rango promedio inicial de 160 Kilogramos a 200 kilogramos para el proceso de invernada y terminación del hato, hasta alcanzar un peso final aproximadamente de 460 a 480 kilogramos de carne en machos y 400 a 420 Kilogramos en hembras, en un lapso de 18 a 24 meses, para su posterior venta en el mercado.                                                                                                                 
Los activos biológicos adquiridos por el Fondo tendrán su propia marca y se encontrarán inscriptos en la dirección de marcas de señales de ganado, a nombre del Fondo.
El proceso de invernada se llevará a cabo en campos a ser arrendados por el Fondo ubicadas en la zona del chaco paraguayo.                                                                                         
La venta del producto terminado se realizará a los frigoríficos, con los precios que rigen en los mercados internacionales ya que será destinado a la exportación. La renta obtenida en esta operación se distribuirá entre los cuotapartistas o inversionistas del fondo en cada fin del ciclo productivo de engorde.</t>
  </si>
  <si>
    <t>El índice de mortandad del hato ganadero, aceptado por el Fondo será de hasta el 2% anual.                                                                                                                                                                   
Adicionalmente, sin perjuicio de lo anterior, el Fondo, tendrá la posibilidad de arrendar o subarrendar los inmuebles necesarios para la consecución de los objetivos propuesto en el presente Reglamento Interno.                                                                                                                                               
Adicionalmente, el Fondo podrá invertir sus recursos en los siguientes valores y bienes, sin perjuicio de las cantidades que mantenga en bancos y siempre con un límite global para cada una de estas inversiones de un 75% del activo total del Fondo.                                                                                                             
Títulos emitidos por el Tesoro Público o garantizados por el mismo, cuya emisión haya sido registrada en el Registro de Valores que lleva la Comisión Nacional de Valores (CNV) o que cuenten con garantía estatal por el 100% de su valor hasta su total extinción.
Títulos emitidos por el Banco Central del Paraguay.                                                                                                                                                                                                                   
Depósitos a plazo y otros títulos representativos de captaciones de instituciones financieras o garantizados por éstas.                                                                                                                     
Bonos emitidos en la Bolsa de Valores y registradas en la Comisión Nacional de Valores.                                                                                                                                                                                           
Operaciones de venta con compromiso de compra y las operaciones de compra con compromiso de venta con los valores comprendidos en este apartado.                                                                                                                                                                                                                                                                                                        
Cuotas partes de fondos mutuos, tanto nacionales como extranjeros, que sean susceptibles de ser rescatadas. No se requerirá que dichos fondos tengan límite de inversión ni de diversificación en sus activos.</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</si>
  <si>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</si>
  <si>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El flujo de efectivos fue preparado de acuerdo con la Resolución CG N° 30/2021 de la Comisión Nacional de Valores.</t>
  </si>
  <si>
    <t>Patrimonio Neto del Fondo de Inversión IN Ganadero Dólares Americanos</t>
  </si>
  <si>
    <t>Guaraníes</t>
  </si>
  <si>
    <t>Financieros (Bancos)</t>
  </si>
  <si>
    <t>Ganadero</t>
  </si>
  <si>
    <t>CREDITOS</t>
  </si>
  <si>
    <t>Impuestos Corrientes</t>
  </si>
  <si>
    <t>Anticipos a Proveedores</t>
  </si>
  <si>
    <t>Activos Biologicos en Producción</t>
  </si>
  <si>
    <t>PLAN FONDO DE INVERSION IN GANADERO U$S</t>
  </si>
  <si>
    <t>Cuentas a Pagar</t>
  </si>
  <si>
    <t>El Fondo no constituye Previsiones.</t>
  </si>
  <si>
    <t>Bancos M/L Cta Cte</t>
  </si>
  <si>
    <t>Bancos M/E Cta Cte</t>
  </si>
  <si>
    <t xml:space="preserve"> Las inversiones (Bonos y CDA en cartera), se exponen a sus valores actualizados. Las diferencias  se exponen en el estado de resultados en el rubro intereses ganados.</t>
  </si>
  <si>
    <t>a)    Diferencia de cambio en Moneda Extranjera</t>
  </si>
  <si>
    <t>b)   Gastos operacionales y comisiones de la administradora con cargo al Fondo:</t>
  </si>
  <si>
    <t>c)    Información Estadística</t>
  </si>
  <si>
    <t xml:space="preserve">Investor Casa De Bolsa S.A. M/L </t>
  </si>
  <si>
    <t xml:space="preserve">Investor Casa De Bolsa S.A. M/E </t>
  </si>
  <si>
    <t>Precio de Compra del Ganado Vacuno</t>
  </si>
  <si>
    <t>Resumen</t>
  </si>
  <si>
    <t>Inversiones en Activos Biologicos</t>
  </si>
  <si>
    <t>Inversiones en Titulos - Valores</t>
  </si>
  <si>
    <t>Bonos</t>
  </si>
  <si>
    <t>(EN DOLARES AMERICANOS)</t>
  </si>
  <si>
    <t xml:space="preserve">ESTADO DEL ACTIVO NETO </t>
  </si>
  <si>
    <t>ESTADO DE INGRESOS Y EGRESOS</t>
  </si>
  <si>
    <t>ESTADO DE FLUJOS DE EFECTIVO</t>
  </si>
  <si>
    <t xml:space="preserve">ESTADO DE RESULTADOS </t>
  </si>
  <si>
    <t>La emisión de cuotas de participación se realizará en moneda extranjera (Dólares americanos), los valores serán de oferta pública, inscriptas en el registro de la Comisión Nacional de Valores (C.N.V.) y registrada en la Bolsa de Valores y Productos de Asunción S.A. (B.V.P.A.S.A).</t>
  </si>
  <si>
    <t xml:space="preserve">Clientes </t>
  </si>
  <si>
    <t>GASTOS PAGADOS POR ADELANTADO</t>
  </si>
  <si>
    <t>Alquileres pagados por adelantado</t>
  </si>
  <si>
    <t>Valuación de Ganado</t>
  </si>
  <si>
    <t>Costo de Trasformacion de Activo Biologico</t>
  </si>
  <si>
    <t>Aumento o disminución en acreedores por operaciones</t>
  </si>
  <si>
    <t xml:space="preserve"> Los fondos se constituyeron  en moneda extranjera, pero exisitieron operaciones en moneda local, por lo cual se realizo la conversión de sus Estados Financieros a Dólares Americanos, se efectúa al cierre al solo efecto de su presentación a los entes reguladores. Las diferencias de cambio que se exponen en el Flujo de Efectivo y la Variación del activo neto, es al sólo efecto de ajustar los saldos iniciales a los tipos de cambo del presente ejercicio.</t>
  </si>
  <si>
    <t>Saldo al 31/12/2021</t>
  </si>
  <si>
    <t>Otros Gastos</t>
  </si>
  <si>
    <t>Costo de Transformacion de AB</t>
  </si>
  <si>
    <t>BIENES DE USO</t>
  </si>
  <si>
    <t>Popiedad, Planta y Equipo</t>
  </si>
  <si>
    <t>(-) Depreciaciones Acumuladas</t>
  </si>
  <si>
    <t>Resultados del Ejercicio</t>
  </si>
  <si>
    <t>Cambio Promedio vigente</t>
  </si>
  <si>
    <t>Saldo al 31/03/2022</t>
  </si>
  <si>
    <t>Telefonica Celular Del Paraguay S.A.E (Telecel S.A.E)</t>
  </si>
  <si>
    <t>Inventario de Ganado Vacuno</t>
  </si>
  <si>
    <t>Efectivo y equivalentes de efectivo al final de periodo</t>
  </si>
  <si>
    <t>Efectivo y equivalentes de efectivo al inicio</t>
  </si>
  <si>
    <t>Aumento (disminución) de efectivo y equivalente de efectivo</t>
  </si>
  <si>
    <t>Efectivo neto provisto (usado) por Actividades de Financiamiento</t>
  </si>
  <si>
    <t>Proveniente de emisión de acciones</t>
  </si>
  <si>
    <t>Dividendos pagados</t>
  </si>
  <si>
    <t>Préstamos bancarios</t>
  </si>
  <si>
    <t>Flujos de Efectivo por Actividades de Financiamiento</t>
  </si>
  <si>
    <t>Efectivo neto provisto (usado) por Actividades de inversion</t>
  </si>
  <si>
    <t>Dividendos percibidos</t>
  </si>
  <si>
    <t>Intereses percibidos</t>
  </si>
  <si>
    <t>Adquisicion de acciones y titulos de deuda</t>
  </si>
  <si>
    <t>Producto de la Venta de Bienes de Uso</t>
  </si>
  <si>
    <t>Flujos de Efectivo por Actividades de Operación</t>
  </si>
  <si>
    <t>Impuesto a la Renta</t>
  </si>
  <si>
    <t>Otros pagos y cobros</t>
  </si>
  <si>
    <t>Efectivo pagado a Empleados</t>
  </si>
  <si>
    <t xml:space="preserve">Efectivo pagado a Proveedores </t>
  </si>
  <si>
    <t>Efectivo Recibido por Otros Beneficios</t>
  </si>
  <si>
    <t>Efectivo Recibido de Clientes</t>
  </si>
  <si>
    <t>Producto de la Venta de B. Uso</t>
  </si>
  <si>
    <t>RESULTADO DEL EJERCICIO</t>
  </si>
  <si>
    <t xml:space="preserve">IMPUESTO A LA RENTA  </t>
  </si>
  <si>
    <t>INTERESES PAGADOS Y DEVENGADOS PRESTAMOS</t>
  </si>
  <si>
    <t>SEGUROS</t>
  </si>
  <si>
    <t>RESERVA LEGAL</t>
  </si>
  <si>
    <t>DEPRECIACIÓN Y AMORTIZACION DEL EJERCICIO</t>
  </si>
  <si>
    <t>GASTOS GENERALES</t>
  </si>
  <si>
    <t>GASTOS DE VENTAS</t>
  </si>
  <si>
    <t>SUELDOS Y JORNALES</t>
  </si>
  <si>
    <t>COSTO DE VENTAS</t>
  </si>
  <si>
    <t>DIVIDENDOS COBRADOS</t>
  </si>
  <si>
    <t>INTERESES DEVENGADOS POSITIVO</t>
  </si>
  <si>
    <t>OTROS INGRESOS OPERATIVOS</t>
  </si>
  <si>
    <t>INGRESOS POR INTERMEDIACION Y COMISIONES (OPERATIVOS)</t>
  </si>
  <si>
    <t>ESTADO DE RESUTADO</t>
  </si>
  <si>
    <t>UTILIDADES DEL EJERCICIO</t>
  </si>
  <si>
    <t>RETIRO A CTA DE UTILIDADES</t>
  </si>
  <si>
    <t>RESULTADOS  ACUMULADOS</t>
  </si>
  <si>
    <t>REVALUO BVPASA</t>
  </si>
  <si>
    <t>RESERVA DE REVALUO</t>
  </si>
  <si>
    <t>APORTE A FUTURA CAPITALIZACION(EFECTIVO)</t>
  </si>
  <si>
    <t>CAPITAL INTEGRADO</t>
  </si>
  <si>
    <t>SUELDOS A PAGAR Y EMPRESAS RELACIONADAS</t>
  </si>
  <si>
    <t>IMPUESTO A LA RENTA A PAGAR</t>
  </si>
  <si>
    <t>DIVIDENDOS A DISTRIBUIR</t>
  </si>
  <si>
    <t>OTRAS DEUDAS (NO INCLUIDAS ANTERIORMENTE)</t>
  </si>
  <si>
    <t xml:space="preserve">ACREEDORES POR INTERMEDIACION                               </t>
  </si>
  <si>
    <t xml:space="preserve">PRESTAMOS EN BANCOS              </t>
  </si>
  <si>
    <t xml:space="preserve">PASIVO  </t>
  </si>
  <si>
    <t>TOTAL ACTIVO</t>
  </si>
  <si>
    <t>GASTOS DIFERIDOS O NO DEVENGADOS</t>
  </si>
  <si>
    <t>(AMORTIZACION DE INTANGIBLES)</t>
  </si>
  <si>
    <t>BIENES INTANGIBLES</t>
  </si>
  <si>
    <t xml:space="preserve">(DEPRE. ACUMULADAS)              </t>
  </si>
  <si>
    <t xml:space="preserve">BIENES DE USO                           </t>
  </si>
  <si>
    <t>INVERSIONES EN OTRAS GANADO</t>
  </si>
  <si>
    <t>INVERSIONES EN VALORES PUBLICOS Y PRIVADOS</t>
  </si>
  <si>
    <t xml:space="preserve">(PREVISIÓN P/ INCOBRABLES)   </t>
  </si>
  <si>
    <t>DEUDORES VARIOS Y OTROS CREDITOS</t>
  </si>
  <si>
    <t>DEUDORES POR INTERMEDIACION</t>
  </si>
  <si>
    <t>ANTICIPO DE IRACIS</t>
  </si>
  <si>
    <t xml:space="preserve">CREDITOS FISCALES </t>
  </si>
  <si>
    <t xml:space="preserve">ACTIVO </t>
  </si>
  <si>
    <t>PROVISTOS</t>
  </si>
  <si>
    <t>ENTES RELACIONADOS</t>
  </si>
  <si>
    <t>EMPLEADOS</t>
  </si>
  <si>
    <t>RENTA</t>
  </si>
  <si>
    <t>P/MERCAD.</t>
  </si>
  <si>
    <t>BENEFICIOS</t>
  </si>
  <si>
    <t>CLIENTES</t>
  </si>
  <si>
    <t>(CREDITOS)</t>
  </si>
  <si>
    <t>AL  31/12/2021</t>
  </si>
  <si>
    <t>DEBITOS</t>
  </si>
  <si>
    <t>(USADOS)</t>
  </si>
  <si>
    <t>COBROS (PAGOS)</t>
  </si>
  <si>
    <t xml:space="preserve">PAGO A </t>
  </si>
  <si>
    <t>PAGOS IMP</t>
  </si>
  <si>
    <t>PAGOS PROVEED.</t>
  </si>
  <si>
    <t>OTROS</t>
  </si>
  <si>
    <t>RECIBIDO DE</t>
  </si>
  <si>
    <t>FINANCIAMIENTOS</t>
  </si>
  <si>
    <t>DE INVERSION</t>
  </si>
  <si>
    <t>ACTIVIDADES DE OPERACIÓN</t>
  </si>
  <si>
    <t>VARIACIÓN</t>
  </si>
  <si>
    <t>BALANCE   Y</t>
  </si>
  <si>
    <t>ELIMINACIONES</t>
  </si>
  <si>
    <t>ACTIVIDADES DE</t>
  </si>
  <si>
    <t>ACTIVIDADES</t>
  </si>
  <si>
    <t>(-) Salida de Dinero</t>
  </si>
  <si>
    <t>(-) Haber</t>
  </si>
  <si>
    <t>(+) Entrada Efectivo</t>
  </si>
  <si>
    <t>(+) Debe</t>
  </si>
  <si>
    <t>FLUJO DE EFECTIVO</t>
  </si>
  <si>
    <t>Inversiones en Ganado</t>
  </si>
  <si>
    <t>(Anexo D)</t>
  </si>
  <si>
    <r>
      <t xml:space="preserve"> Naturaleza jurídica: </t>
    </r>
    <r>
      <rPr>
        <sz val="11"/>
        <color theme="1"/>
        <rFont val="Noto Sans"/>
        <family val="2"/>
      </rPr>
      <t xml:space="preserve">  FONDO DE INVERSIÓN IN GANADERO DÓLARES AMERICANOS</t>
    </r>
  </si>
  <si>
    <r>
      <t>Autorizados por Resolución Nro. 27 E/21 de fecha 02 de Agosto de 2021 de la Comisión Nacional de Valores</t>
    </r>
    <r>
      <rPr>
        <b/>
        <sz val="11"/>
        <color theme="1"/>
        <rFont val="Noto Sans"/>
        <family val="2"/>
      </rPr>
      <t>;</t>
    </r>
  </si>
  <si>
    <r>
      <rPr>
        <b/>
        <sz val="11"/>
        <color theme="1"/>
        <rFont val="Noto Sans"/>
        <family val="2"/>
      </rPr>
      <t xml:space="preserve">Valor total del Fondo: </t>
    </r>
    <r>
      <rPr>
        <sz val="11"/>
        <color theme="1"/>
        <rFont val="Noto Sans"/>
        <family val="2"/>
      </rPr>
      <t>USD 10.000.000,00 (Dólares americanos Diez millones).</t>
    </r>
  </si>
  <si>
    <r>
      <rPr>
        <b/>
        <sz val="11"/>
        <color theme="1"/>
        <rFont val="Noto Sans"/>
        <family val="2"/>
      </rPr>
      <t>El valor nominal de cada cuota:</t>
    </r>
    <r>
      <rPr>
        <sz val="11"/>
        <color theme="1"/>
        <rFont val="Noto Sans"/>
        <family val="2"/>
      </rPr>
      <t xml:space="preserve"> USD 1.000,00 (Dólares americanos Un mil).</t>
    </r>
  </si>
  <si>
    <r>
      <rPr>
        <b/>
        <sz val="11"/>
        <color theme="1"/>
        <rFont val="Noto Sans"/>
        <family val="2"/>
      </rPr>
      <t>Plazo de colocación:</t>
    </r>
    <r>
      <rPr>
        <sz val="11"/>
        <color theme="1"/>
        <rFont val="Noto Sans"/>
        <family val="2"/>
      </rPr>
      <t xml:space="preserve">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r>
  </si>
  <si>
    <r>
      <rPr>
        <b/>
        <sz val="11"/>
        <color theme="1"/>
        <rFont val="Noto Sans"/>
        <family val="2"/>
      </rPr>
      <t>Cantidad de cuotas:</t>
    </r>
    <r>
      <rPr>
        <sz val="11"/>
        <color theme="1"/>
        <rFont val="Noto Sans"/>
        <family val="2"/>
      </rPr>
      <t xml:space="preserve"> 10.000 (Diez mil).</t>
    </r>
  </si>
  <si>
    <r>
      <rPr>
        <b/>
        <sz val="11"/>
        <color theme="1"/>
        <rFont val="Noto Sans"/>
        <family val="2"/>
      </rPr>
      <t>Precio</t>
    </r>
    <r>
      <rPr>
        <sz val="11"/>
        <color theme="1"/>
        <rFont val="Noto Sans"/>
        <family val="2"/>
      </rPr>
      <t>: No podrá ser inferior al que resulte de dividir el valor diario del patrimonio del fondo por el número de cuotas pagadas a la fecha.</t>
    </r>
  </si>
  <si>
    <r>
      <rPr>
        <b/>
        <sz val="11"/>
        <color theme="1"/>
        <rFont val="Noto Sans"/>
        <family val="2"/>
      </rPr>
      <t xml:space="preserve">Plazo de colocación: </t>
    </r>
    <r>
      <rPr>
        <sz val="11"/>
        <color theme="1"/>
        <rFont val="Noto Sans"/>
        <family val="2"/>
      </rPr>
      <t xml:space="preserve">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r>
  </si>
  <si>
    <r>
      <rPr>
        <b/>
        <sz val="11"/>
        <color theme="1"/>
        <rFont val="Noto Sans"/>
        <family val="2"/>
      </rPr>
      <t>Agente colocador:</t>
    </r>
    <r>
      <rPr>
        <sz val="11"/>
        <color theme="1"/>
        <rFont val="Noto Sans"/>
        <family val="2"/>
      </rPr>
      <t xml:space="preserve"> INVESTOR Administradora de Fondos Patrimoniales de Inversión S.A. e INVESTOR Casa de Bolsa S.A.</t>
    </r>
  </si>
  <si>
    <r>
      <rPr>
        <b/>
        <sz val="11"/>
        <color theme="1"/>
        <rFont val="Noto Sans"/>
        <family val="2"/>
      </rPr>
      <t>Entidad de Custodia de las cuotas partes</t>
    </r>
    <r>
      <rPr>
        <sz val="11"/>
        <color theme="1"/>
        <rFont val="Noto Sans"/>
        <family val="2"/>
      </rPr>
      <t>: Bolsa de Valores y Productos de Asunción S.A. (B.V.P.A.S.A), forma desmaterializada por Sistema Electrónico de Negociación (S.E.N.).</t>
    </r>
  </si>
  <si>
    <r>
      <rPr>
        <b/>
        <sz val="11"/>
        <color theme="1"/>
        <rFont val="Noto Sans"/>
        <family val="2"/>
      </rPr>
      <t xml:space="preserve">Entidad de Custodia del portafolio del Fondo: </t>
    </r>
    <r>
      <rPr>
        <sz val="11"/>
        <color theme="1"/>
        <rFont val="Noto Sans"/>
        <family val="2"/>
      </rPr>
      <t>Bolsa de Valores y Productos de Asunción S.A. (B.V.P.A.S.A) e Investor Casa de Bolsa S.A.</t>
    </r>
  </si>
  <si>
    <r>
      <rPr>
        <b/>
        <sz val="11"/>
        <color theme="1"/>
        <rFont val="Noto Sans"/>
        <family val="2"/>
      </rPr>
      <t>Valor máximo de compra:</t>
    </r>
    <r>
      <rPr>
        <sz val="11"/>
        <color theme="1"/>
        <rFont val="Noto Sans"/>
        <family val="2"/>
      </rPr>
      <t xml:space="preserve"> hasta 25% de las cuotas del fondo (2.500 cuotas) por valor nominal de cada cuota USD 1.000 (Dólares Americanos un mil) = USD 2.5000.000 (Dólares Americanos Dos millones Quinientos Mil). </t>
    </r>
  </si>
  <si>
    <r>
      <rPr>
        <b/>
        <sz val="11"/>
        <color theme="1"/>
        <rFont val="Noto Sans"/>
        <family val="2"/>
      </rPr>
      <t>Límites de permanencia:</t>
    </r>
    <r>
      <rPr>
        <sz val="11"/>
        <color theme="1"/>
        <rFont val="Noto Sans"/>
        <family val="2"/>
      </rPr>
      <t xml:space="preserve"> 8 años, prorrogable sucesivamente por periodos de 4 años, a criterio de la Asamblea Extraordinaria de Aportantes.</t>
    </r>
  </si>
  <si>
    <r>
      <rPr>
        <b/>
        <sz val="11"/>
        <color theme="1"/>
        <rFont val="Noto Sans"/>
        <family val="2"/>
      </rPr>
      <t xml:space="preserve">Reglas para suscripción: </t>
    </r>
    <r>
      <rPr>
        <sz val="11"/>
        <color theme="1"/>
        <rFont val="Noto Sans"/>
        <family val="2"/>
      </rPr>
      <t xml:space="preserve">Los partícipes deberán suscribir con la Sociedad Administradora el Contrato de Suscripción al fondo y la Solicitud de Inversión correspondiente. </t>
    </r>
  </si>
  <si>
    <r>
      <rPr>
        <b/>
        <sz val="11"/>
        <color theme="1"/>
        <rFont val="Noto Sans"/>
        <family val="2"/>
      </rPr>
      <t>Forma de representación de las cuotas:</t>
    </r>
    <r>
      <rPr>
        <sz val="11"/>
        <color theme="1"/>
        <rFont val="Noto Sans"/>
        <family val="2"/>
      </rPr>
      <t xml:space="preserve"> Los aportes quedarán expresados en cuotas del fondo, nominativas, unitarias de igual valor y características, y no podrán rescatarse antes de la liquidación del Fondo.</t>
    </r>
  </si>
  <si>
    <r>
      <t>Fue inscripta en la Comisión Nacional de Valores por medio de la Resolucion Nº  34 E/17 de fecha 24 de Agosto de 2017 de la Comisión Nacional de Valores</t>
    </r>
    <r>
      <rPr>
        <b/>
        <sz val="11"/>
        <color theme="1"/>
        <rFont val="Noto Sans"/>
        <family val="2"/>
      </rPr>
      <t>;</t>
    </r>
  </si>
  <si>
    <r>
      <rPr>
        <b/>
        <sz val="11"/>
        <color theme="1"/>
        <rFont val="Noto Sans"/>
        <family val="2"/>
      </rPr>
      <t>2.2 – Entidad encargada de la custodia</t>
    </r>
    <r>
      <rPr>
        <sz val="11"/>
        <color theme="1"/>
        <rFont val="Noto Sans"/>
        <family val="2"/>
      </rPr>
      <t>: BVPASA e INVESTOR Casa de Bolsa S.A.</t>
    </r>
  </si>
  <si>
    <r>
      <t>Los ingresos son reconocidos con base en el criterio de lo devengado, de conformidad con las disposiciones de las Normas contables emitidas por el Consejo de Contadores Públicos del Paraguay</t>
    </r>
    <r>
      <rPr>
        <b/>
        <sz val="11"/>
        <color theme="1"/>
        <rFont val="Noto Sans"/>
        <family val="2"/>
      </rPr>
      <t>.</t>
    </r>
  </si>
  <si>
    <r>
      <rPr>
        <b/>
        <sz val="11"/>
        <color theme="1"/>
        <rFont val="Noto Sans"/>
        <family val="2"/>
      </rPr>
      <t>3.9</t>
    </r>
    <r>
      <rPr>
        <sz val="11"/>
        <color theme="1"/>
        <rFont val="Noto Sans"/>
        <family val="2"/>
      </rPr>
      <t xml:space="preserve"> La Administradora no ha realizado cambios en la aplicación de los criterios contables del Fondo.</t>
    </r>
  </si>
  <si>
    <r>
      <rPr>
        <b/>
        <sz val="11"/>
        <color theme="1"/>
        <rFont val="Noto Sans"/>
        <family val="2"/>
      </rPr>
      <t>3.10</t>
    </r>
    <r>
      <rPr>
        <sz val="11"/>
        <color theme="1"/>
        <rFont val="Noto Sans"/>
        <family val="2"/>
      </rPr>
      <t xml:space="preserve"> – Valorización de las Inversiones. Las inversiones son incorporadas al valor de costo, y ajustadas diariamente por devengamiento de los intereses, y las ganancias a realizar, afectando a resultados como Intereses Ganados. Asimismo, en este rubro se registran los  Activos Biologicos a su valor de compra y se valuan a su valor razonable.</t>
    </r>
  </si>
  <si>
    <r>
      <rPr>
        <b/>
        <sz val="11"/>
        <color theme="1"/>
        <rFont val="Noto Sans"/>
        <family val="2"/>
      </rPr>
      <t xml:space="preserve">3.11 </t>
    </r>
    <r>
      <rPr>
        <sz val="11"/>
        <color theme="1"/>
        <rFont val="Noto Sans"/>
        <family val="2"/>
      </rPr>
      <t>– Los ingresos y gastos del fondo son reconocidos aplicando el criterio de lo devengado;</t>
    </r>
  </si>
  <si>
    <r>
      <rPr>
        <b/>
        <sz val="11"/>
        <color theme="1"/>
        <rFont val="Noto Sans"/>
        <family val="2"/>
      </rPr>
      <t>3.12</t>
    </r>
    <r>
      <rPr>
        <sz val="11"/>
        <color theme="1"/>
        <rFont val="Noto Sans"/>
        <family val="2"/>
      </rPr>
      <t xml:space="preserve"> -  A la fecha de la información financiera, no se ajustaron los precios.</t>
    </r>
  </si>
  <si>
    <r>
      <t xml:space="preserve">3.13 </t>
    </r>
    <r>
      <rPr>
        <sz val="11"/>
        <color theme="1"/>
        <rFont val="Noto Sans"/>
        <family val="2"/>
      </rPr>
      <t>Tipos de cambio utilizados para convertir en moneda nacional los saldos en Moneda Extranjera:</t>
    </r>
  </si>
  <si>
    <r>
      <t xml:space="preserve">Ø  </t>
    </r>
    <r>
      <rPr>
        <u/>
        <sz val="11"/>
        <color theme="1"/>
        <rFont val="Noto Sans"/>
        <family val="2"/>
      </rPr>
      <t>Comisión de administración</t>
    </r>
    <r>
      <rPr>
        <sz val="11"/>
        <color theme="1"/>
        <rFont val="Noto Sans"/>
        <family val="2"/>
      </rPr>
      <t xml:space="preserve">: De Hasta 10,00 % nominal anual (base 365) más IVA  sobre el patrimonio neto de pre cierre administrado. La comisión se devenga diariamente y se cobra mensualmente. </t>
    </r>
  </si>
  <si>
    <r>
      <t xml:space="preserve">Ø  </t>
    </r>
    <r>
      <rPr>
        <u/>
        <sz val="11"/>
        <color theme="1"/>
        <rFont val="Noto Sans"/>
        <family val="2"/>
      </rPr>
      <t xml:space="preserve">Gastos y comisiones bancarias: </t>
    </r>
    <r>
      <rPr>
        <sz val="11"/>
        <color theme="1"/>
        <rFont val="Noto Sans"/>
        <family val="2"/>
      </rPr>
      <t>mantenimiento de cuentas, transferencias interbancarias y otras de similar naturaleza).</t>
    </r>
  </si>
  <si>
    <t>31/6/2022</t>
  </si>
  <si>
    <t>Correspondiente al 30/06/2022 con cifras comparativas al 31/12/2021</t>
  </si>
  <si>
    <t>Combustibles para Estancia</t>
  </si>
  <si>
    <t>TOTAL DEL ACTIVO NETO AL 30-06-2022</t>
  </si>
  <si>
    <t>Correspondiente al 30/06/2022 con cifras comparativas al 30/06/2021</t>
  </si>
  <si>
    <t>TOTAL DEL ACTIVO NETO AL 30-06-2021</t>
  </si>
  <si>
    <t>Perdidas por Valuaciones Dif de Cambio</t>
  </si>
  <si>
    <t>Ganancias por Valuaciones Dif de Cambio</t>
  </si>
  <si>
    <t>Ajuste por Conversión U$D</t>
  </si>
  <si>
    <t>AJUSTE POR CONVERSION</t>
  </si>
  <si>
    <t>AL  30/06/2022</t>
  </si>
  <si>
    <t>De conformidad a lo establecido por el Código Civil y los Estatutos Sociales, he procedido a la revisión de los registros contables, los comprobantes que respaldan las transacciones  efectuadas, así como el Balance General, Cuadro de Resultados, Estado de Flujo de Efectivo, Variación del Patrimonio Neto y sus correspondientes Notas Contables del ejercicio cerrado al 30 de Junio 2022, encontrándolos todos conformes a las Leyes, los Estatutos Sociales, los Principios de Contabilidad Generalmente Aceptados y las Normas Contables indicadas por la Comisión Nacional de Valores  como así también por las normas de Contabilidad vigentes en el Paraguay, por lo que recomiendo su aprobación.</t>
  </si>
  <si>
    <t xml:space="preserve">Los estados financieros están preparados en Dólares Americanos. Para la conversión de los estados financieros a moneda funcional se utiliza los siguientes  tipos de cambios: comprador establecido para el cierre del mes por la Administración Tributaria 1USD = 6.837,90, para los activos y 1 USD = 6.850,05 para los pasivos monetarios. Y el tipo de cambio promedio a la fecha,  para los Estados de Resultados y Tipo de Cambio Historico para el Patrimonio Neto. </t>
  </si>
  <si>
    <r>
      <rPr>
        <b/>
        <sz val="11"/>
        <color theme="1"/>
        <rFont val="Noto Sans"/>
        <family val="2"/>
      </rPr>
      <t xml:space="preserve">3.8 </t>
    </r>
    <r>
      <rPr>
        <sz val="11"/>
        <color theme="1"/>
        <rFont val="Noto Sans"/>
        <family val="2"/>
      </rPr>
      <t xml:space="preserve">– Los estados contables corresponden al trimestre cerrado el </t>
    </r>
    <r>
      <rPr>
        <b/>
        <u/>
        <sz val="11"/>
        <color theme="1"/>
        <rFont val="Noto Sans"/>
        <family val="2"/>
      </rPr>
      <t>30 de junio de 2022</t>
    </r>
  </si>
  <si>
    <t xml:space="preserve">No existen hechos posteriores al cierre del trimestre que modifique significativamente los estados financieros cerrado el 30 de junio de 2022. </t>
  </si>
  <si>
    <t>Dólares Americanos</t>
  </si>
  <si>
    <t>Financieros (Financiera)</t>
  </si>
  <si>
    <t>Telecomunicaciones</t>
  </si>
  <si>
    <t>Bonos Corporativos</t>
  </si>
  <si>
    <t>Público</t>
  </si>
  <si>
    <t>Bonos Públicos</t>
  </si>
  <si>
    <t>Construcción</t>
  </si>
  <si>
    <t>Instrumento</t>
  </si>
  <si>
    <t>Saldo Contable</t>
  </si>
  <si>
    <t>Diferencias</t>
  </si>
  <si>
    <t>Diferencia del Cuadro</t>
  </si>
  <si>
    <t>Tecnologia Del Sur S.A.E.</t>
  </si>
  <si>
    <t>Tu Financiera S.A.</t>
  </si>
  <si>
    <t>Agencia Financiera De Desarrollo</t>
  </si>
  <si>
    <t>Solar Ahorro Y Finanzas S.A.E.C.A.</t>
  </si>
  <si>
    <t>Banco Familiar S.A.E.C.A.</t>
  </si>
  <si>
    <t>Banco Gnb Paraguay S.A.</t>
  </si>
  <si>
    <t>Banco Basa S.A.</t>
  </si>
  <si>
    <t>Banco Itau Paraguay S.A.</t>
  </si>
  <si>
    <t>Inventario De Ganado Vacuno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</si>
</sst>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_-* #,##0.00_-;\-* #,##0.00_-;_-* &quot;-&quot;??_-;_-@_-"/>
    <numFmt numFmtId="165" formatCode="_(* #,##0_);_(* \(#,##0\);_(* &quot;-&quot;_);_(@_)"/>
    <numFmt numFmtId="166" formatCode="_(* #,##0.00_);_(* \(#,##0.00\);_(* &quot;-&quot;??_);_(@_)"/>
    <numFmt numFmtId="167" formatCode="0_);\(#,#00\)"/>
    <numFmt numFmtId="168" formatCode="#,##0.00_ ;\-#,##0.00\ "/>
    <numFmt numFmtId="169" formatCode="_-* #,##0_-;\-* #,##0_-;_-* &quot;-&quot;??_-;_-@_-"/>
    <numFmt numFmtId="170" formatCode="0.000%"/>
    <numFmt numFmtId="171" formatCode="_-* #,##0.00\ _€_-;\-* #,##0.00\ _€_-;_-* &quot;-&quot;??\ _€_-;_-@_-"/>
    <numFmt numFmtId="172" formatCode="_-* #,##0.0000000_-;\-* #,##0.0000000_-;_-* &quot;-&quot;??_-;_-@_-"/>
    <numFmt numFmtId="173" formatCode="_ * #,##0.00_ ;_ * \-#,##0.00_ ;_ * &quot;-&quot;_ ;_ @_ "/>
    <numFmt numFmtId="174" formatCode="#,##0;\(#,##0\)"/>
    <numFmt numFmtId="175" formatCode="_(* #,##0_);_(* \(#,##0\);_(* &quot;-&quot;??_);_(@_)"/>
    <numFmt numFmtId="176" formatCode="#,##0.00;\(#,##0.00\)"/>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b/>
      <sz val="14"/>
      <color theme="1"/>
      <name val="Calibri"/>
      <family val="2"/>
      <scheme val="minor"/>
    </font>
    <font>
      <b/>
      <u/>
      <sz val="14"/>
      <color theme="1"/>
      <name val="Calibri"/>
      <family val="2"/>
      <scheme val="minor"/>
    </font>
    <font>
      <b/>
      <u/>
      <sz val="11"/>
      <color theme="1"/>
      <name val="Calibri"/>
      <family val="2"/>
      <scheme val="minor"/>
    </font>
    <font>
      <b/>
      <sz val="8"/>
      <name val="Calibri"/>
      <family val="2"/>
    </font>
    <font>
      <b/>
      <sz val="11"/>
      <color indexed="8"/>
      <name val="Calibri"/>
      <family val="2"/>
      <scheme val="minor"/>
    </font>
    <font>
      <i/>
      <sz val="12"/>
      <color theme="1"/>
      <name val="Calibri"/>
      <family val="2"/>
      <scheme val="minor"/>
    </font>
    <font>
      <sz val="11"/>
      <color indexed="8"/>
      <name val="Calibri"/>
      <family val="2"/>
      <scheme val="minor"/>
    </font>
    <font>
      <sz val="10"/>
      <name val="Calibri"/>
      <family val="2"/>
      <scheme val="minor"/>
    </font>
    <font>
      <sz val="12"/>
      <name val="Arial"/>
      <family val="2"/>
    </font>
    <font>
      <b/>
      <sz val="12"/>
      <color indexed="10"/>
      <name val="Arial"/>
      <family val="2"/>
    </font>
    <font>
      <sz val="12"/>
      <color indexed="8"/>
      <name val="Arial"/>
      <family val="2"/>
    </font>
    <font>
      <b/>
      <sz val="12"/>
      <color indexed="8"/>
      <name val="Arial"/>
      <family val="2"/>
    </font>
    <font>
      <b/>
      <sz val="16"/>
      <color indexed="8"/>
      <name val="Arial"/>
      <family val="2"/>
    </font>
    <font>
      <sz val="10"/>
      <color indexed="8"/>
      <name val="Arial"/>
      <family val="2"/>
    </font>
    <font>
      <b/>
      <sz val="12"/>
      <name val="Arial"/>
      <family val="2"/>
    </font>
    <font>
      <b/>
      <sz val="10"/>
      <name val="Arial"/>
      <family val="2"/>
    </font>
    <font>
      <b/>
      <sz val="10"/>
      <color indexed="10"/>
      <name val="Arial"/>
      <family val="2"/>
    </font>
    <font>
      <b/>
      <sz val="11"/>
      <name val="Arial"/>
      <family val="2"/>
    </font>
    <font>
      <b/>
      <sz val="10"/>
      <color theme="9" tint="-0.249977111117893"/>
      <name val="Arial"/>
      <family val="2"/>
    </font>
    <font>
      <b/>
      <sz val="10"/>
      <color rgb="FFFF0000"/>
      <name val="Arial"/>
      <family val="2"/>
    </font>
    <font>
      <b/>
      <i/>
      <sz val="10"/>
      <name val="Arial"/>
      <family val="2"/>
    </font>
    <font>
      <b/>
      <sz val="10"/>
      <color theme="9"/>
      <name val="Arial"/>
      <family val="2"/>
    </font>
    <font>
      <sz val="10"/>
      <color theme="9"/>
      <name val="Arial"/>
      <family val="2"/>
    </font>
    <font>
      <sz val="9"/>
      <name val="Arial"/>
      <family val="2"/>
    </font>
    <font>
      <b/>
      <i/>
      <sz val="9"/>
      <name val="Arial"/>
      <family val="2"/>
    </font>
    <font>
      <sz val="10"/>
      <color theme="9" tint="-0.249977111117893"/>
      <name val="Arial"/>
      <family val="2"/>
    </font>
    <font>
      <b/>
      <sz val="10"/>
      <color theme="7" tint="-0.249977111117893"/>
      <name val="Arial"/>
      <family val="2"/>
    </font>
    <font>
      <b/>
      <sz val="8"/>
      <name val="Arial"/>
      <family val="2"/>
    </font>
    <font>
      <b/>
      <sz val="5"/>
      <name val="Arial"/>
      <family val="2"/>
    </font>
    <font>
      <b/>
      <sz val="9"/>
      <name val="Arial"/>
      <family val="2"/>
    </font>
    <font>
      <b/>
      <sz val="11"/>
      <color theme="9"/>
      <name val="Arial"/>
      <family val="2"/>
    </font>
    <font>
      <b/>
      <sz val="7"/>
      <name val="Arial"/>
      <family val="2"/>
    </font>
    <font>
      <b/>
      <i/>
      <sz val="14"/>
      <name val="Arial"/>
      <family val="2"/>
    </font>
    <font>
      <b/>
      <sz val="10"/>
      <color rgb="FF000000"/>
      <name val="Tahoma"/>
      <family val="2"/>
    </font>
    <font>
      <sz val="10"/>
      <color rgb="FF000000"/>
      <name val="Tahoma"/>
      <family val="2"/>
    </font>
    <font>
      <sz val="9"/>
      <color indexed="81"/>
      <name val="Tahoma"/>
      <family val="2"/>
    </font>
    <font>
      <b/>
      <sz val="9"/>
      <color indexed="81"/>
      <name val="Tahoma"/>
      <family val="2"/>
    </font>
    <font>
      <sz val="11"/>
      <color theme="1"/>
      <name val="Noto Sans"/>
      <family val="2"/>
    </font>
    <font>
      <b/>
      <sz val="11"/>
      <color theme="1"/>
      <name val="Noto Sans"/>
      <family val="2"/>
    </font>
    <font>
      <sz val="18"/>
      <color theme="0"/>
      <name val="Noto Sans"/>
      <family val="2"/>
    </font>
    <font>
      <sz val="18"/>
      <name val="Noto Sans"/>
      <family val="2"/>
    </font>
    <font>
      <sz val="28"/>
      <color theme="0"/>
      <name val="Noto Sans"/>
      <family val="2"/>
    </font>
    <font>
      <sz val="10"/>
      <color theme="1"/>
      <name val="Noto Sans"/>
      <family val="2"/>
    </font>
    <font>
      <sz val="11"/>
      <name val="Noto Sans"/>
      <family val="2"/>
    </font>
    <font>
      <u/>
      <sz val="11"/>
      <name val="Noto Sans"/>
      <family val="2"/>
    </font>
    <font>
      <b/>
      <sz val="12"/>
      <color theme="1"/>
      <name val="Noto Sans"/>
      <family val="2"/>
    </font>
    <font>
      <sz val="11"/>
      <color indexed="8"/>
      <name val="Noto Sans"/>
      <family val="2"/>
    </font>
    <font>
      <sz val="10"/>
      <name val="Noto Sans"/>
      <family val="2"/>
    </font>
    <font>
      <b/>
      <sz val="18"/>
      <color indexed="8"/>
      <name val="Noto Sans"/>
      <family val="2"/>
    </font>
    <font>
      <b/>
      <u/>
      <sz val="16"/>
      <name val="Noto Sans"/>
      <family val="2"/>
    </font>
    <font>
      <b/>
      <sz val="11"/>
      <color indexed="8"/>
      <name val="Noto Sans"/>
      <family val="2"/>
    </font>
    <font>
      <sz val="11"/>
      <color theme="0"/>
      <name val="Noto Sans"/>
      <family val="2"/>
    </font>
    <font>
      <b/>
      <sz val="8"/>
      <color indexed="8"/>
      <name val="Noto Sans"/>
      <family val="2"/>
    </font>
    <font>
      <b/>
      <sz val="11"/>
      <name val="Noto Sans"/>
      <family val="2"/>
    </font>
    <font>
      <sz val="11"/>
      <color rgb="FFFF0000"/>
      <name val="Noto Sans"/>
      <family val="2"/>
    </font>
    <font>
      <b/>
      <sz val="10"/>
      <name val="Noto Sans"/>
      <family val="2"/>
    </font>
    <font>
      <b/>
      <sz val="11"/>
      <color theme="0"/>
      <name val="Noto Sans"/>
      <family val="2"/>
    </font>
    <font>
      <b/>
      <u/>
      <sz val="11"/>
      <name val="Noto Sans"/>
      <family val="2"/>
    </font>
    <font>
      <b/>
      <u/>
      <sz val="18"/>
      <name val="Noto Sans"/>
      <family val="2"/>
    </font>
    <font>
      <sz val="9"/>
      <name val="Noto Sans"/>
      <family val="2"/>
    </font>
    <font>
      <u/>
      <sz val="11"/>
      <color theme="10"/>
      <name val="Noto Sans"/>
      <family val="2"/>
    </font>
    <font>
      <b/>
      <u/>
      <sz val="11"/>
      <color theme="1"/>
      <name val="Noto Sans"/>
      <family val="2"/>
    </font>
    <font>
      <b/>
      <sz val="11"/>
      <color rgb="FF000000"/>
      <name val="Noto Sans"/>
      <family val="2"/>
    </font>
    <font>
      <sz val="11"/>
      <color rgb="FF000000"/>
      <name val="Noto Sans"/>
      <family val="2"/>
    </font>
    <font>
      <u/>
      <sz val="11"/>
      <color theme="1"/>
      <name val="Noto Sans"/>
      <family val="2"/>
    </font>
    <font>
      <sz val="11"/>
      <color theme="0"/>
      <name val="Calibri"/>
      <family val="2"/>
      <scheme val="minor"/>
    </font>
    <font>
      <sz val="10"/>
      <color rgb="FFFF0000"/>
      <name val="Arial"/>
      <family val="2"/>
    </font>
    <font>
      <sz val="9"/>
      <color theme="5"/>
      <name val="Arial"/>
      <family val="2"/>
    </font>
    <font>
      <sz val="10"/>
      <color theme="5"/>
      <name val="Arial"/>
      <family val="2"/>
    </font>
    <font>
      <b/>
      <sz val="10"/>
      <color theme="5"/>
      <name val="Arial"/>
      <family val="2"/>
    </font>
    <font>
      <sz val="11"/>
      <name val="Calibri"/>
      <family val="2"/>
      <scheme val="minor"/>
    </font>
    <font>
      <i/>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6">
    <xf numFmtId="0" fontId="0" fillId="0" borderId="0"/>
    <xf numFmtId="16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 fillId="0" borderId="0"/>
    <xf numFmtId="9" fontId="3"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cellStyleXfs>
  <cellXfs count="700">
    <xf numFmtId="0" fontId="0" fillId="0" borderId="0" xfId="0"/>
    <xf numFmtId="0" fontId="2" fillId="0" borderId="0" xfId="0" applyFont="1"/>
    <xf numFmtId="0" fontId="1" fillId="0" borderId="0" xfId="0" applyFont="1"/>
    <xf numFmtId="0" fontId="8" fillId="0" borderId="4" xfId="0" applyFont="1" applyBorder="1" applyAlignment="1">
      <alignment horizontal="center" vertical="center" wrapText="1"/>
    </xf>
    <xf numFmtId="43" fontId="1" fillId="0" borderId="0" xfId="0" applyNumberFormat="1" applyFont="1"/>
    <xf numFmtId="169" fontId="9" fillId="0" borderId="12" xfId="1" applyNumberFormat="1" applyFont="1" applyBorder="1"/>
    <xf numFmtId="164" fontId="2" fillId="0" borderId="13" xfId="1" applyFont="1" applyBorder="1"/>
    <xf numFmtId="169" fontId="11" fillId="0" borderId="12" xfId="1" applyNumberFormat="1" applyFont="1" applyBorder="1"/>
    <xf numFmtId="164" fontId="1" fillId="0" borderId="13" xfId="1" applyFont="1" applyBorder="1"/>
    <xf numFmtId="0" fontId="1" fillId="0" borderId="12" xfId="0" applyFont="1" applyBorder="1"/>
    <xf numFmtId="173" fontId="1" fillId="0" borderId="13" xfId="14" applyNumberFormat="1" applyFont="1" applyBorder="1"/>
    <xf numFmtId="0" fontId="1" fillId="0" borderId="16" xfId="0" applyFont="1" applyBorder="1"/>
    <xf numFmtId="173" fontId="0" fillId="0" borderId="14" xfId="14" applyNumberFormat="1" applyFont="1" applyBorder="1"/>
    <xf numFmtId="169" fontId="9" fillId="0" borderId="17" xfId="1" applyNumberFormat="1" applyFont="1" applyBorder="1"/>
    <xf numFmtId="164" fontId="2" fillId="0" borderId="15" xfId="1" applyFont="1" applyBorder="1"/>
    <xf numFmtId="164" fontId="0" fillId="0" borderId="0" xfId="1" applyFont="1" applyBorder="1" applyAlignment="1">
      <alignment horizontal="center" vertical="center"/>
    </xf>
    <xf numFmtId="164" fontId="0" fillId="0" borderId="0" xfId="1" applyFont="1" applyBorder="1" applyAlignment="1">
      <alignment horizontal="right" vertical="center"/>
    </xf>
    <xf numFmtId="0" fontId="5" fillId="0" borderId="0" xfId="0" applyFont="1" applyAlignment="1">
      <alignment vertical="center"/>
    </xf>
    <xf numFmtId="0" fontId="0" fillId="0" borderId="0" xfId="0" applyAlignment="1">
      <alignment horizontal="left" vertical="center"/>
    </xf>
    <xf numFmtId="164" fontId="0" fillId="0" borderId="0" xfId="1" applyFont="1" applyBorder="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169" fontId="0" fillId="0" borderId="0" xfId="1" applyNumberFormat="1" applyFont="1" applyBorder="1" applyAlignment="1">
      <alignment horizontal="right" vertical="center"/>
    </xf>
    <xf numFmtId="164" fontId="2" fillId="0" borderId="0" xfId="1" applyFont="1" applyBorder="1" applyAlignment="1">
      <alignment horizontal="right" vertical="center"/>
    </xf>
    <xf numFmtId="10" fontId="0" fillId="0" borderId="0" xfId="3" applyNumberFormat="1" applyFont="1" applyBorder="1" applyAlignment="1">
      <alignment horizontal="right" vertical="center"/>
    </xf>
    <xf numFmtId="170" fontId="0" fillId="0" borderId="0" xfId="3" applyNumberFormat="1" applyFont="1" applyBorder="1" applyAlignment="1">
      <alignment horizontal="right" vertical="center"/>
    </xf>
    <xf numFmtId="0" fontId="7" fillId="0" borderId="0" xfId="0" applyFont="1" applyAlignment="1">
      <alignment horizontal="center"/>
    </xf>
    <xf numFmtId="0" fontId="3" fillId="0" borderId="0" xfId="11"/>
    <xf numFmtId="0" fontId="13" fillId="0" borderId="0" xfId="11" applyFont="1"/>
    <xf numFmtId="3" fontId="13" fillId="0" borderId="0" xfId="11" applyNumberFormat="1" applyFont="1"/>
    <xf numFmtId="3" fontId="14" fillId="0" borderId="0" xfId="11" applyNumberFormat="1" applyFont="1" applyAlignment="1">
      <alignment horizontal="center"/>
    </xf>
    <xf numFmtId="3" fontId="15" fillId="0" borderId="0" xfId="11" applyNumberFormat="1" applyFont="1"/>
    <xf numFmtId="3" fontId="16" fillId="0" borderId="0" xfId="11" applyNumberFormat="1" applyFont="1" applyAlignment="1">
      <alignment horizontal="right"/>
    </xf>
    <xf numFmtId="0" fontId="16" fillId="0" borderId="0" xfId="11" applyFont="1"/>
    <xf numFmtId="3" fontId="15" fillId="0" borderId="0" xfId="11" applyNumberFormat="1" applyFont="1" applyAlignment="1">
      <alignment horizontal="right"/>
    </xf>
    <xf numFmtId="0" fontId="15" fillId="0" borderId="0" xfId="11" applyFont="1"/>
    <xf numFmtId="0" fontId="15" fillId="0" borderId="0" xfId="11" applyFont="1" applyAlignment="1">
      <alignment horizontal="right"/>
    </xf>
    <xf numFmtId="3" fontId="16" fillId="6" borderId="0" xfId="11" applyNumberFormat="1" applyFont="1" applyFill="1" applyAlignment="1">
      <alignment horizontal="right"/>
    </xf>
    <xf numFmtId="174" fontId="13" fillId="0" borderId="0" xfId="11" applyNumberFormat="1" applyFont="1"/>
    <xf numFmtId="0" fontId="13" fillId="6" borderId="0" xfId="11" applyFont="1" applyFill="1"/>
    <xf numFmtId="0" fontId="15" fillId="6" borderId="0" xfId="11" applyFont="1" applyFill="1" applyAlignment="1">
      <alignment horizontal="right"/>
    </xf>
    <xf numFmtId="0" fontId="17" fillId="6" borderId="0" xfId="11" applyFont="1" applyFill="1"/>
    <xf numFmtId="0" fontId="18" fillId="0" borderId="0" xfId="11" applyFont="1" applyAlignment="1">
      <alignment horizontal="right"/>
    </xf>
    <xf numFmtId="174" fontId="19" fillId="6" borderId="0" xfId="11" applyNumberFormat="1" applyFont="1" applyFill="1" applyAlignment="1">
      <alignment horizontal="center"/>
    </xf>
    <xf numFmtId="174" fontId="3" fillId="0" borderId="0" xfId="11" applyNumberFormat="1"/>
    <xf numFmtId="174" fontId="20" fillId="0" borderId="0" xfId="11" applyNumberFormat="1" applyFont="1"/>
    <xf numFmtId="41" fontId="3" fillId="0" borderId="0" xfId="11" applyNumberFormat="1"/>
    <xf numFmtId="174" fontId="21" fillId="0" borderId="37" xfId="11" applyNumberFormat="1" applyFont="1" applyBorder="1"/>
    <xf numFmtId="174" fontId="22" fillId="6" borderId="37" xfId="11" applyNumberFormat="1" applyFont="1" applyFill="1" applyBorder="1"/>
    <xf numFmtId="174" fontId="21" fillId="0" borderId="9" xfId="11" applyNumberFormat="1" applyFont="1" applyBorder="1"/>
    <xf numFmtId="174" fontId="3" fillId="0" borderId="37" xfId="11" applyNumberFormat="1" applyBorder="1"/>
    <xf numFmtId="174" fontId="3" fillId="0" borderId="38" xfId="11" applyNumberFormat="1" applyBorder="1"/>
    <xf numFmtId="174" fontId="3" fillId="0" borderId="39" xfId="11" applyNumberFormat="1" applyBorder="1"/>
    <xf numFmtId="174" fontId="3" fillId="0" borderId="8" xfId="11" applyNumberFormat="1" applyBorder="1"/>
    <xf numFmtId="174" fontId="3" fillId="0" borderId="4" xfId="11" applyNumberFormat="1" applyBorder="1"/>
    <xf numFmtId="174" fontId="21" fillId="0" borderId="8" xfId="11" applyNumberFormat="1" applyFont="1" applyBorder="1"/>
    <xf numFmtId="174" fontId="21" fillId="0" borderId="40" xfId="11" applyNumberFormat="1" applyFont="1" applyBorder="1" applyAlignment="1">
      <alignment horizontal="left"/>
    </xf>
    <xf numFmtId="174" fontId="3" fillId="6" borderId="39" xfId="11" applyNumberFormat="1" applyFill="1" applyBorder="1"/>
    <xf numFmtId="174" fontId="3" fillId="6" borderId="4" xfId="11" applyNumberFormat="1" applyFill="1" applyBorder="1"/>
    <xf numFmtId="174" fontId="23" fillId="7" borderId="4" xfId="11" applyNumberFormat="1" applyFont="1" applyFill="1" applyBorder="1"/>
    <xf numFmtId="174" fontId="24" fillId="7" borderId="4" xfId="11" applyNumberFormat="1" applyFont="1" applyFill="1" applyBorder="1"/>
    <xf numFmtId="174" fontId="3" fillId="7" borderId="4" xfId="11" applyNumberFormat="1" applyFill="1" applyBorder="1"/>
    <xf numFmtId="174" fontId="20" fillId="7" borderId="4" xfId="11" applyNumberFormat="1" applyFont="1" applyFill="1" applyBorder="1"/>
    <xf numFmtId="174" fontId="25" fillId="7" borderId="41" xfId="11" applyNumberFormat="1" applyFont="1" applyFill="1" applyBorder="1" applyAlignment="1">
      <alignment horizontal="centerContinuous"/>
    </xf>
    <xf numFmtId="174" fontId="21" fillId="6" borderId="9" xfId="11" applyNumberFormat="1" applyFont="1" applyFill="1" applyBorder="1"/>
    <xf numFmtId="174" fontId="26" fillId="7" borderId="4" xfId="11" applyNumberFormat="1" applyFont="1" applyFill="1" applyBorder="1"/>
    <xf numFmtId="174" fontId="27" fillId="7" borderId="4" xfId="11" applyNumberFormat="1" applyFont="1" applyFill="1" applyBorder="1"/>
    <xf numFmtId="174" fontId="27" fillId="7" borderId="42" xfId="11" applyNumberFormat="1" applyFont="1" applyFill="1" applyBorder="1"/>
    <xf numFmtId="174" fontId="27" fillId="7" borderId="41" xfId="11" applyNumberFormat="1" applyFont="1" applyFill="1" applyBorder="1"/>
    <xf numFmtId="174" fontId="24" fillId="0" borderId="4" xfId="11" applyNumberFormat="1" applyFont="1" applyBorder="1"/>
    <xf numFmtId="174" fontId="3" fillId="0" borderId="41" xfId="11" applyNumberFormat="1" applyBorder="1"/>
    <xf numFmtId="174" fontId="21" fillId="7" borderId="9" xfId="11" applyNumberFormat="1" applyFont="1" applyFill="1" applyBorder="1"/>
    <xf numFmtId="174" fontId="3" fillId="7" borderId="41" xfId="11" applyNumberFormat="1" applyFill="1" applyBorder="1"/>
    <xf numFmtId="174" fontId="3" fillId="7" borderId="5" xfId="11" applyNumberFormat="1" applyFill="1" applyBorder="1"/>
    <xf numFmtId="174" fontId="28" fillId="7" borderId="41" xfId="11" applyNumberFormat="1" applyFont="1" applyFill="1" applyBorder="1"/>
    <xf numFmtId="174" fontId="27" fillId="7" borderId="5" xfId="11" applyNumberFormat="1" applyFont="1" applyFill="1" applyBorder="1"/>
    <xf numFmtId="174" fontId="3" fillId="0" borderId="5" xfId="11" applyNumberFormat="1" applyBorder="1"/>
    <xf numFmtId="3" fontId="3" fillId="0" borderId="0" xfId="11" applyNumberFormat="1"/>
    <xf numFmtId="174" fontId="20" fillId="0" borderId="5" xfId="11" applyNumberFormat="1" applyFont="1" applyBorder="1"/>
    <xf numFmtId="174" fontId="29" fillId="0" borderId="41" xfId="11" applyNumberFormat="1" applyFont="1" applyBorder="1"/>
    <xf numFmtId="174" fontId="20" fillId="0" borderId="19" xfId="11" applyNumberFormat="1" applyFont="1" applyBorder="1"/>
    <xf numFmtId="174" fontId="29" fillId="0" borderId="41" xfId="11" applyNumberFormat="1" applyFont="1" applyBorder="1" applyAlignment="1">
      <alignment horizontal="center"/>
    </xf>
    <xf numFmtId="0" fontId="3" fillId="5" borderId="0" xfId="11" applyFill="1"/>
    <xf numFmtId="174" fontId="21" fillId="8" borderId="9" xfId="11" applyNumberFormat="1" applyFont="1" applyFill="1" applyBorder="1"/>
    <xf numFmtId="174" fontId="21" fillId="8" borderId="43" xfId="11" applyNumberFormat="1" applyFont="1" applyFill="1" applyBorder="1"/>
    <xf numFmtId="174" fontId="26" fillId="8" borderId="4" xfId="11" applyNumberFormat="1" applyFont="1" applyFill="1" applyBorder="1"/>
    <xf numFmtId="174" fontId="21" fillId="8" borderId="4" xfId="11" applyNumberFormat="1" applyFont="1" applyFill="1" applyBorder="1"/>
    <xf numFmtId="174" fontId="21" fillId="8" borderId="41" xfId="11" applyNumberFormat="1" applyFont="1" applyFill="1" applyBorder="1"/>
    <xf numFmtId="174" fontId="3" fillId="8" borderId="4" xfId="11" applyNumberFormat="1" applyFill="1" applyBorder="1"/>
    <xf numFmtId="174" fontId="27" fillId="8" borderId="4" xfId="11" applyNumberFormat="1" applyFont="1" applyFill="1" applyBorder="1"/>
    <xf numFmtId="174" fontId="3" fillId="8" borderId="41" xfId="11" applyNumberFormat="1" applyFill="1" applyBorder="1"/>
    <xf numFmtId="174" fontId="27" fillId="0" borderId="4" xfId="11" applyNumberFormat="1" applyFont="1" applyBorder="1"/>
    <xf numFmtId="3" fontId="26" fillId="0" borderId="0" xfId="11" applyNumberFormat="1" applyFont="1"/>
    <xf numFmtId="174" fontId="26" fillId="0" borderId="9" xfId="11" applyNumberFormat="1" applyFont="1" applyBorder="1"/>
    <xf numFmtId="174" fontId="26" fillId="0" borderId="4" xfId="11" applyNumberFormat="1" applyFont="1" applyBorder="1"/>
    <xf numFmtId="174" fontId="25" fillId="0" borderId="41" xfId="11" applyNumberFormat="1" applyFont="1" applyBorder="1" applyAlignment="1">
      <alignment horizontal="center"/>
    </xf>
    <xf numFmtId="174" fontId="30" fillId="6" borderId="39" xfId="11" applyNumberFormat="1" applyFont="1" applyFill="1" applyBorder="1"/>
    <xf numFmtId="174" fontId="30" fillId="6" borderId="4" xfId="11" applyNumberFormat="1" applyFont="1" applyFill="1" applyBorder="1"/>
    <xf numFmtId="174" fontId="21" fillId="7" borderId="4" xfId="11" applyNumberFormat="1" applyFont="1" applyFill="1" applyBorder="1"/>
    <xf numFmtId="174" fontId="21" fillId="7" borderId="41" xfId="11" applyNumberFormat="1" applyFont="1" applyFill="1" applyBorder="1"/>
    <xf numFmtId="174" fontId="31" fillId="8" borderId="4" xfId="11" applyNumberFormat="1" applyFont="1" applyFill="1" applyBorder="1"/>
    <xf numFmtId="174" fontId="21" fillId="0" borderId="4" xfId="11" applyNumberFormat="1" applyFont="1" applyBorder="1"/>
    <xf numFmtId="174" fontId="31" fillId="0" borderId="4" xfId="11" applyNumberFormat="1" applyFont="1" applyBorder="1"/>
    <xf numFmtId="174" fontId="21" fillId="0" borderId="41" xfId="11" applyNumberFormat="1" applyFont="1" applyBorder="1"/>
    <xf numFmtId="174" fontId="3" fillId="0" borderId="4" xfId="11" applyNumberFormat="1" applyBorder="1" applyAlignment="1">
      <alignment horizontal="center"/>
    </xf>
    <xf numFmtId="174" fontId="21" fillId="0" borderId="39" xfId="11" applyNumberFormat="1" applyFont="1" applyBorder="1"/>
    <xf numFmtId="174" fontId="21" fillId="7" borderId="9" xfId="11" applyNumberFormat="1" applyFont="1" applyFill="1" applyBorder="1" applyAlignment="1">
      <alignment horizontal="center"/>
    </xf>
    <xf numFmtId="174" fontId="21" fillId="7" borderId="44" xfId="11" applyNumberFormat="1" applyFont="1" applyFill="1" applyBorder="1"/>
    <xf numFmtId="174" fontId="21" fillId="0" borderId="9" xfId="11" applyNumberFormat="1" applyFont="1" applyBorder="1" applyAlignment="1">
      <alignment horizontal="center"/>
    </xf>
    <xf numFmtId="175" fontId="12" fillId="0" borderId="0" xfId="15" applyNumberFormat="1" applyFont="1"/>
    <xf numFmtId="174" fontId="21" fillId="0" borderId="44" xfId="11" applyNumberFormat="1" applyFont="1" applyBorder="1"/>
    <xf numFmtId="174" fontId="3" fillId="0" borderId="45" xfId="11" applyNumberFormat="1" applyBorder="1"/>
    <xf numFmtId="174" fontId="3" fillId="0" borderId="46" xfId="11" applyNumberFormat="1" applyBorder="1"/>
    <xf numFmtId="174" fontId="3" fillId="0" borderId="46" xfId="11" applyNumberFormat="1" applyBorder="1" applyAlignment="1">
      <alignment horizontal="center"/>
    </xf>
    <xf numFmtId="174" fontId="29" fillId="0" borderId="47" xfId="11" applyNumberFormat="1" applyFont="1" applyBorder="1"/>
    <xf numFmtId="174" fontId="20" fillId="0" borderId="31" xfId="11" applyNumberFormat="1" applyFont="1" applyBorder="1"/>
    <xf numFmtId="174" fontId="32" fillId="0" borderId="48" xfId="11" applyNumberFormat="1" applyFont="1" applyBorder="1" applyAlignment="1">
      <alignment horizontal="center"/>
    </xf>
    <xf numFmtId="174" fontId="33" fillId="0" borderId="31" xfId="11" applyNumberFormat="1" applyFont="1" applyBorder="1" applyAlignment="1">
      <alignment horizontal="center"/>
    </xf>
    <xf numFmtId="174" fontId="32" fillId="0" borderId="31" xfId="11" applyNumberFormat="1" applyFont="1" applyBorder="1" applyAlignment="1">
      <alignment horizontal="center"/>
    </xf>
    <xf numFmtId="174" fontId="34" fillId="0" borderId="48" xfId="11" applyNumberFormat="1" applyFont="1" applyBorder="1" applyAlignment="1">
      <alignment horizontal="center"/>
    </xf>
    <xf numFmtId="174" fontId="34" fillId="0" borderId="29" xfId="11" applyNumberFormat="1" applyFont="1" applyBorder="1" applyAlignment="1">
      <alignment horizontal="center"/>
    </xf>
    <xf numFmtId="174" fontId="35" fillId="0" borderId="48" xfId="11" applyNumberFormat="1" applyFont="1" applyBorder="1" applyAlignment="1">
      <alignment horizontal="center"/>
    </xf>
    <xf numFmtId="174" fontId="34" fillId="0" borderId="31" xfId="11" applyNumberFormat="1" applyFont="1" applyBorder="1" applyAlignment="1">
      <alignment horizontal="center"/>
    </xf>
    <xf numFmtId="174" fontId="20" fillId="0" borderId="29" xfId="11" applyNumberFormat="1" applyFont="1" applyBorder="1" applyAlignment="1">
      <alignment horizontal="center"/>
    </xf>
    <xf numFmtId="174" fontId="20" fillId="0" borderId="24" xfId="11" applyNumberFormat="1" applyFont="1" applyBorder="1" applyAlignment="1">
      <alignment horizontal="center"/>
    </xf>
    <xf numFmtId="174" fontId="32" fillId="0" borderId="49" xfId="11" applyNumberFormat="1" applyFont="1" applyBorder="1" applyAlignment="1">
      <alignment horizontal="center"/>
    </xf>
    <xf numFmtId="174" fontId="36" fillId="0" borderId="34" xfId="11" applyNumberFormat="1" applyFont="1" applyBorder="1" applyAlignment="1">
      <alignment horizontal="center"/>
    </xf>
    <xf numFmtId="174" fontId="32" fillId="0" borderId="34" xfId="11" applyNumberFormat="1" applyFont="1" applyBorder="1" applyAlignment="1">
      <alignment horizontal="center"/>
    </xf>
    <xf numFmtId="174" fontId="34" fillId="0" borderId="49" xfId="11" applyNumberFormat="1" applyFont="1" applyBorder="1" applyAlignment="1">
      <alignment horizontal="center"/>
    </xf>
    <xf numFmtId="174" fontId="34" fillId="0" borderId="32" xfId="11" applyNumberFormat="1" applyFont="1" applyBorder="1" applyAlignment="1">
      <alignment horizontal="center"/>
    </xf>
    <xf numFmtId="174" fontId="34" fillId="0" borderId="50" xfId="11" applyNumberFormat="1" applyFont="1" applyBorder="1" applyAlignment="1">
      <alignment horizontal="center"/>
    </xf>
    <xf numFmtId="174" fontId="34" fillId="0" borderId="34" xfId="11" applyNumberFormat="1" applyFont="1" applyBorder="1" applyAlignment="1">
      <alignment horizontal="center"/>
    </xf>
    <xf numFmtId="174" fontId="20" fillId="0" borderId="49" xfId="11" applyNumberFormat="1" applyFont="1" applyBorder="1"/>
    <xf numFmtId="174" fontId="20" fillId="0" borderId="23" xfId="11" applyNumberFormat="1" applyFont="1" applyBorder="1"/>
    <xf numFmtId="174" fontId="32" fillId="0" borderId="50" xfId="11" applyNumberFormat="1" applyFont="1" applyBorder="1" applyAlignment="1">
      <alignment horizontal="center"/>
    </xf>
    <xf numFmtId="174" fontId="20" fillId="0" borderId="0" xfId="11" applyNumberFormat="1" applyFont="1" applyAlignment="1">
      <alignment horizontal="centerContinuous"/>
    </xf>
    <xf numFmtId="174" fontId="20" fillId="0" borderId="23" xfId="11" applyNumberFormat="1" applyFont="1" applyBorder="1" applyAlignment="1">
      <alignment horizontal="centerContinuous"/>
    </xf>
    <xf numFmtId="174" fontId="20" fillId="0" borderId="31" xfId="11" applyNumberFormat="1" applyFont="1" applyBorder="1" applyAlignment="1">
      <alignment horizontal="centerContinuous"/>
    </xf>
    <xf numFmtId="174" fontId="34" fillId="0" borderId="29" xfId="11" applyNumberFormat="1" applyFont="1" applyBorder="1" applyAlignment="1">
      <alignment horizontal="centerContinuous"/>
    </xf>
    <xf numFmtId="174" fontId="20" fillId="0" borderId="23" xfId="11" applyNumberFormat="1" applyFont="1" applyBorder="1" applyAlignment="1">
      <alignment horizontal="center"/>
    </xf>
    <xf numFmtId="174" fontId="20" fillId="0" borderId="34" xfId="11" applyNumberFormat="1" applyFont="1" applyBorder="1"/>
    <xf numFmtId="174" fontId="20" fillId="0" borderId="33" xfId="11" applyNumberFormat="1" applyFont="1" applyBorder="1"/>
    <xf numFmtId="174" fontId="20" fillId="0" borderId="32" xfId="11" applyNumberFormat="1" applyFont="1" applyBorder="1"/>
    <xf numFmtId="174" fontId="20" fillId="0" borderId="34" xfId="11" applyNumberFormat="1" applyFont="1" applyBorder="1" applyAlignment="1">
      <alignment horizontal="centerContinuous"/>
    </xf>
    <xf numFmtId="174" fontId="20" fillId="0" borderId="32" xfId="11" applyNumberFormat="1" applyFont="1" applyBorder="1" applyAlignment="1">
      <alignment horizontal="centerContinuous"/>
    </xf>
    <xf numFmtId="174" fontId="37" fillId="0" borderId="0" xfId="11" applyNumberFormat="1" applyFont="1"/>
    <xf numFmtId="176" fontId="3" fillId="0" borderId="0" xfId="11" applyNumberFormat="1"/>
    <xf numFmtId="173" fontId="3" fillId="0" borderId="0" xfId="14" applyNumberFormat="1" applyFont="1"/>
    <xf numFmtId="173" fontId="13" fillId="0" borderId="0" xfId="14" applyNumberFormat="1" applyFont="1"/>
    <xf numFmtId="176" fontId="13" fillId="0" borderId="0" xfId="11" applyNumberFormat="1" applyFont="1"/>
    <xf numFmtId="173" fontId="14" fillId="0" borderId="0" xfId="14" applyNumberFormat="1" applyFont="1" applyAlignment="1">
      <alignment horizontal="center"/>
    </xf>
    <xf numFmtId="173" fontId="15" fillId="0" borderId="0" xfId="14" applyNumberFormat="1" applyFont="1"/>
    <xf numFmtId="176" fontId="16" fillId="0" borderId="0" xfId="11" applyNumberFormat="1" applyFont="1" applyAlignment="1">
      <alignment horizontal="right"/>
    </xf>
    <xf numFmtId="176" fontId="15" fillId="0" borderId="0" xfId="11" applyNumberFormat="1" applyFont="1" applyAlignment="1">
      <alignment horizontal="right"/>
    </xf>
    <xf numFmtId="176" fontId="15" fillId="0" borderId="0" xfId="11" applyNumberFormat="1" applyFont="1"/>
    <xf numFmtId="176" fontId="16" fillId="6" borderId="0" xfId="11" applyNumberFormat="1" applyFont="1" applyFill="1" applyAlignment="1">
      <alignment horizontal="right"/>
    </xf>
    <xf numFmtId="173" fontId="13" fillId="6" borderId="0" xfId="14" applyNumberFormat="1" applyFont="1" applyFill="1"/>
    <xf numFmtId="176" fontId="15" fillId="6" borderId="0" xfId="11" applyNumberFormat="1" applyFont="1" applyFill="1" applyAlignment="1">
      <alignment horizontal="right"/>
    </xf>
    <xf numFmtId="176" fontId="18" fillId="0" borderId="0" xfId="11" applyNumberFormat="1" applyFont="1" applyAlignment="1">
      <alignment horizontal="right"/>
    </xf>
    <xf numFmtId="176" fontId="19" fillId="6" borderId="0" xfId="11" applyNumberFormat="1" applyFont="1" applyFill="1" applyAlignment="1">
      <alignment horizontal="center"/>
    </xf>
    <xf numFmtId="173" fontId="20" fillId="0" borderId="0" xfId="14" applyNumberFormat="1" applyFont="1"/>
    <xf numFmtId="176" fontId="21" fillId="0" borderId="37" xfId="11" applyNumberFormat="1" applyFont="1" applyBorder="1"/>
    <xf numFmtId="176" fontId="22" fillId="6" borderId="37" xfId="11" applyNumberFormat="1" applyFont="1" applyFill="1" applyBorder="1"/>
    <xf numFmtId="173" fontId="21" fillId="0" borderId="9" xfId="14" applyNumberFormat="1" applyFont="1" applyBorder="1"/>
    <xf numFmtId="173" fontId="3" fillId="0" borderId="37" xfId="14" applyNumberFormat="1" applyFont="1" applyBorder="1"/>
    <xf numFmtId="176" fontId="3" fillId="0" borderId="37" xfId="11" applyNumberFormat="1" applyBorder="1"/>
    <xf numFmtId="176" fontId="3" fillId="0" borderId="39" xfId="11" applyNumberFormat="1" applyBorder="1"/>
    <xf numFmtId="176" fontId="3" fillId="0" borderId="8" xfId="11" applyNumberFormat="1" applyBorder="1"/>
    <xf numFmtId="176" fontId="3" fillId="0" borderId="4" xfId="11" applyNumberFormat="1" applyBorder="1"/>
    <xf numFmtId="173" fontId="21" fillId="0" borderId="8" xfId="14" applyNumberFormat="1" applyFont="1" applyBorder="1"/>
    <xf numFmtId="176" fontId="21" fillId="0" borderId="8" xfId="11" applyNumberFormat="1" applyFont="1" applyBorder="1"/>
    <xf numFmtId="176" fontId="3" fillId="6" borderId="39" xfId="11" applyNumberFormat="1" applyFill="1" applyBorder="1"/>
    <xf numFmtId="176" fontId="3" fillId="6" borderId="4" xfId="11" applyNumberFormat="1" applyFill="1" applyBorder="1"/>
    <xf numFmtId="173" fontId="23" fillId="7" borderId="4" xfId="14" applyNumberFormat="1" applyFont="1" applyFill="1" applyBorder="1"/>
    <xf numFmtId="173" fontId="24" fillId="7" borderId="4" xfId="14" applyNumberFormat="1" applyFont="1" applyFill="1" applyBorder="1"/>
    <xf numFmtId="176" fontId="3" fillId="7" borderId="4" xfId="11" applyNumberFormat="1" applyFill="1" applyBorder="1"/>
    <xf numFmtId="176" fontId="20" fillId="7" borderId="4" xfId="11" applyNumberFormat="1" applyFont="1" applyFill="1" applyBorder="1"/>
    <xf numFmtId="176" fontId="21" fillId="6" borderId="9" xfId="11" applyNumberFormat="1" applyFont="1" applyFill="1" applyBorder="1"/>
    <xf numFmtId="173" fontId="26" fillId="7" borderId="4" xfId="14" applyNumberFormat="1" applyFont="1" applyFill="1" applyBorder="1"/>
    <xf numFmtId="176" fontId="27" fillId="7" borderId="4" xfId="11" applyNumberFormat="1" applyFont="1" applyFill="1" applyBorder="1"/>
    <xf numFmtId="176" fontId="27" fillId="7" borderId="42" xfId="11" applyNumberFormat="1" applyFont="1" applyFill="1" applyBorder="1"/>
    <xf numFmtId="173" fontId="3" fillId="0" borderId="8" xfId="14" applyNumberFormat="1" applyFont="1" applyBorder="1"/>
    <xf numFmtId="173" fontId="24" fillId="0" borderId="4" xfId="14" applyNumberFormat="1" applyFont="1" applyBorder="1"/>
    <xf numFmtId="173" fontId="21" fillId="7" borderId="9" xfId="14" applyNumberFormat="1" applyFont="1" applyFill="1" applyBorder="1"/>
    <xf numFmtId="173" fontId="3" fillId="7" borderId="4" xfId="14" applyNumberFormat="1" applyFont="1" applyFill="1" applyBorder="1"/>
    <xf numFmtId="173" fontId="3" fillId="7" borderId="5" xfId="14" applyNumberFormat="1" applyFont="1" applyFill="1" applyBorder="1"/>
    <xf numFmtId="176" fontId="3" fillId="7" borderId="5" xfId="11" applyNumberFormat="1" applyFill="1" applyBorder="1"/>
    <xf numFmtId="176" fontId="27" fillId="7" borderId="5" xfId="11" applyNumberFormat="1" applyFont="1" applyFill="1" applyBorder="1"/>
    <xf numFmtId="173" fontId="3" fillId="0" borderId="5" xfId="14" applyNumberFormat="1" applyFont="1" applyBorder="1"/>
    <xf numFmtId="176" fontId="3" fillId="0" borderId="5" xfId="11" applyNumberFormat="1" applyBorder="1"/>
    <xf numFmtId="173" fontId="3" fillId="0" borderId="4" xfId="14" applyNumberFormat="1" applyFont="1" applyBorder="1"/>
    <xf numFmtId="173" fontId="20" fillId="0" borderId="5" xfId="14" applyNumberFormat="1" applyFont="1" applyBorder="1"/>
    <xf numFmtId="176" fontId="20" fillId="0" borderId="5" xfId="11" applyNumberFormat="1" applyFont="1" applyBorder="1"/>
    <xf numFmtId="173" fontId="20" fillId="0" borderId="19" xfId="14" applyNumberFormat="1" applyFont="1" applyBorder="1"/>
    <xf numFmtId="176" fontId="20" fillId="0" borderId="19" xfId="11" applyNumberFormat="1" applyFont="1" applyBorder="1"/>
    <xf numFmtId="173" fontId="21" fillId="8" borderId="9" xfId="14" applyNumberFormat="1" applyFont="1" applyFill="1" applyBorder="1"/>
    <xf numFmtId="173" fontId="21" fillId="8" borderId="43" xfId="14" applyNumberFormat="1" applyFont="1" applyFill="1" applyBorder="1"/>
    <xf numFmtId="173" fontId="26" fillId="8" borderId="4" xfId="14" applyNumberFormat="1" applyFont="1" applyFill="1" applyBorder="1"/>
    <xf numFmtId="176" fontId="21" fillId="8" borderId="4" xfId="11" applyNumberFormat="1" applyFont="1" applyFill="1" applyBorder="1"/>
    <xf numFmtId="176" fontId="21" fillId="8" borderId="43" xfId="11" applyNumberFormat="1" applyFont="1" applyFill="1" applyBorder="1"/>
    <xf numFmtId="173" fontId="21" fillId="8" borderId="4" xfId="14" applyNumberFormat="1" applyFont="1" applyFill="1" applyBorder="1"/>
    <xf numFmtId="173" fontId="3" fillId="8" borderId="4" xfId="14" applyNumberFormat="1" applyFont="1" applyFill="1" applyBorder="1"/>
    <xf numFmtId="176" fontId="27" fillId="8" borderId="4" xfId="11" applyNumberFormat="1" applyFont="1" applyFill="1" applyBorder="1"/>
    <xf numFmtId="176" fontId="3" fillId="8" borderId="4" xfId="11" applyNumberFormat="1" applyFill="1" applyBorder="1"/>
    <xf numFmtId="176" fontId="27" fillId="0" borderId="4" xfId="11" applyNumberFormat="1" applyFont="1" applyBorder="1"/>
    <xf numFmtId="173" fontId="26" fillId="0" borderId="9" xfId="14" applyNumberFormat="1" applyFont="1" applyBorder="1"/>
    <xf numFmtId="173" fontId="26" fillId="0" borderId="0" xfId="14" applyNumberFormat="1" applyFont="1"/>
    <xf numFmtId="173" fontId="26" fillId="0" borderId="4" xfId="14" applyNumberFormat="1" applyFont="1" applyBorder="1"/>
    <xf numFmtId="176" fontId="26" fillId="0" borderId="4" xfId="11" applyNumberFormat="1" applyFont="1" applyBorder="1"/>
    <xf numFmtId="176" fontId="26" fillId="0" borderId="0" xfId="11" applyNumberFormat="1" applyFont="1"/>
    <xf numFmtId="176" fontId="30" fillId="6" borderId="39" xfId="11" applyNumberFormat="1" applyFont="1" applyFill="1" applyBorder="1"/>
    <xf numFmtId="176" fontId="30" fillId="6" borderId="4" xfId="11" applyNumberFormat="1" applyFont="1" applyFill="1" applyBorder="1"/>
    <xf numFmtId="173" fontId="21" fillId="7" borderId="4" xfId="14" applyNumberFormat="1" applyFont="1" applyFill="1" applyBorder="1"/>
    <xf numFmtId="176" fontId="21" fillId="7" borderId="4" xfId="11" applyNumberFormat="1" applyFont="1" applyFill="1" applyBorder="1"/>
    <xf numFmtId="173" fontId="31" fillId="8" borderId="4" xfId="14" applyNumberFormat="1" applyFont="1" applyFill="1" applyBorder="1"/>
    <xf numFmtId="173" fontId="21" fillId="0" borderId="4" xfId="14" applyNumberFormat="1" applyFont="1" applyBorder="1"/>
    <xf numFmtId="176" fontId="31" fillId="0" borderId="4" xfId="11" applyNumberFormat="1" applyFont="1" applyBorder="1"/>
    <xf numFmtId="176" fontId="21" fillId="0" borderId="4" xfId="11" applyNumberFormat="1" applyFont="1" applyBorder="1"/>
    <xf numFmtId="173" fontId="3" fillId="0" borderId="4" xfId="14" applyNumberFormat="1" applyFont="1" applyBorder="1" applyAlignment="1">
      <alignment horizontal="center"/>
    </xf>
    <xf numFmtId="176" fontId="21" fillId="0" borderId="39" xfId="11" applyNumberFormat="1" applyFont="1" applyBorder="1"/>
    <xf numFmtId="176" fontId="21" fillId="0" borderId="9" xfId="11" applyNumberFormat="1" applyFont="1" applyBorder="1"/>
    <xf numFmtId="173" fontId="21" fillId="7" borderId="9" xfId="14" applyNumberFormat="1" applyFont="1" applyFill="1" applyBorder="1" applyAlignment="1">
      <alignment horizontal="center"/>
    </xf>
    <xf numFmtId="176" fontId="21" fillId="7" borderId="9" xfId="11" applyNumberFormat="1" applyFont="1" applyFill="1" applyBorder="1"/>
    <xf numFmtId="173" fontId="21" fillId="0" borderId="9" xfId="14" applyNumberFormat="1" applyFont="1" applyBorder="1" applyAlignment="1">
      <alignment horizontal="center"/>
    </xf>
    <xf numFmtId="176" fontId="12" fillId="0" borderId="0" xfId="15" applyNumberFormat="1" applyFont="1"/>
    <xf numFmtId="176" fontId="3" fillId="0" borderId="45" xfId="11" applyNumberFormat="1" applyBorder="1"/>
    <xf numFmtId="176" fontId="3" fillId="0" borderId="46" xfId="11" applyNumberFormat="1" applyBorder="1"/>
    <xf numFmtId="173" fontId="3" fillId="0" borderId="46" xfId="14" applyNumberFormat="1" applyFont="1" applyBorder="1"/>
    <xf numFmtId="173" fontId="3" fillId="0" borderId="46" xfId="14" applyNumberFormat="1" applyFont="1" applyBorder="1" applyAlignment="1">
      <alignment horizontal="center"/>
    </xf>
    <xf numFmtId="176" fontId="20" fillId="0" borderId="31" xfId="11" applyNumberFormat="1" applyFont="1" applyBorder="1"/>
    <xf numFmtId="176" fontId="32" fillId="0" borderId="48" xfId="11" applyNumberFormat="1" applyFont="1" applyBorder="1" applyAlignment="1">
      <alignment horizontal="center"/>
    </xf>
    <xf numFmtId="176" fontId="33" fillId="0" borderId="31" xfId="11" applyNumberFormat="1" applyFont="1" applyBorder="1" applyAlignment="1">
      <alignment horizontal="center"/>
    </xf>
    <xf numFmtId="176" fontId="32" fillId="0" borderId="31" xfId="11" applyNumberFormat="1" applyFont="1" applyBorder="1" applyAlignment="1">
      <alignment horizontal="center"/>
    </xf>
    <xf numFmtId="176" fontId="34" fillId="0" borderId="48" xfId="11" applyNumberFormat="1" applyFont="1" applyBorder="1" applyAlignment="1">
      <alignment horizontal="center"/>
    </xf>
    <xf numFmtId="176" fontId="34" fillId="0" borderId="29" xfId="11" applyNumberFormat="1" applyFont="1" applyBorder="1" applyAlignment="1">
      <alignment horizontal="center"/>
    </xf>
    <xf numFmtId="173" fontId="34" fillId="0" borderId="48" xfId="14" applyNumberFormat="1" applyFont="1" applyBorder="1" applyAlignment="1">
      <alignment horizontal="center"/>
    </xf>
    <xf numFmtId="173" fontId="35" fillId="0" borderId="48" xfId="14" applyNumberFormat="1" applyFont="1" applyBorder="1" applyAlignment="1">
      <alignment horizontal="center"/>
    </xf>
    <xf numFmtId="173" fontId="34" fillId="0" borderId="31" xfId="14" applyNumberFormat="1" applyFont="1" applyBorder="1" applyAlignment="1">
      <alignment horizontal="center"/>
    </xf>
    <xf numFmtId="176" fontId="35" fillId="0" borderId="48" xfId="11" applyNumberFormat="1" applyFont="1" applyBorder="1" applyAlignment="1">
      <alignment horizontal="center"/>
    </xf>
    <xf numFmtId="176" fontId="20" fillId="0" borderId="24" xfId="11" applyNumberFormat="1" applyFont="1" applyBorder="1" applyAlignment="1">
      <alignment horizontal="center"/>
    </xf>
    <xf numFmtId="176" fontId="32" fillId="0" borderId="49" xfId="11" applyNumberFormat="1" applyFont="1" applyBorder="1" applyAlignment="1">
      <alignment horizontal="center"/>
    </xf>
    <xf numFmtId="176" fontId="36" fillId="0" borderId="34" xfId="11" applyNumberFormat="1" applyFont="1" applyBorder="1" applyAlignment="1">
      <alignment horizontal="center"/>
    </xf>
    <xf numFmtId="176" fontId="32" fillId="0" borderId="34" xfId="11" applyNumberFormat="1" applyFont="1" applyBorder="1" applyAlignment="1">
      <alignment horizontal="center"/>
    </xf>
    <xf numFmtId="176" fontId="34" fillId="0" borderId="49" xfId="11" applyNumberFormat="1" applyFont="1" applyBorder="1" applyAlignment="1">
      <alignment horizontal="center"/>
    </xf>
    <xf numFmtId="176" fontId="34" fillId="0" borderId="32" xfId="11" applyNumberFormat="1" applyFont="1" applyBorder="1" applyAlignment="1">
      <alignment horizontal="center"/>
    </xf>
    <xf numFmtId="173" fontId="34" fillId="0" borderId="49" xfId="14" applyNumberFormat="1" applyFont="1" applyBorder="1" applyAlignment="1">
      <alignment horizontal="center"/>
    </xf>
    <xf numFmtId="173" fontId="34" fillId="0" borderId="50" xfId="14" applyNumberFormat="1" applyFont="1" applyBorder="1" applyAlignment="1">
      <alignment horizontal="center"/>
    </xf>
    <xf numFmtId="173" fontId="34" fillId="0" borderId="34" xfId="14" applyNumberFormat="1" applyFont="1" applyBorder="1" applyAlignment="1">
      <alignment horizontal="center"/>
    </xf>
    <xf numFmtId="176" fontId="20" fillId="0" borderId="49" xfId="11" applyNumberFormat="1" applyFont="1" applyBorder="1"/>
    <xf numFmtId="176" fontId="34" fillId="0" borderId="50" xfId="11" applyNumberFormat="1" applyFont="1" applyBorder="1" applyAlignment="1">
      <alignment horizontal="center"/>
    </xf>
    <xf numFmtId="176" fontId="32" fillId="0" borderId="50" xfId="11" applyNumberFormat="1" applyFont="1" applyBorder="1" applyAlignment="1">
      <alignment horizontal="center"/>
    </xf>
    <xf numFmtId="176" fontId="20" fillId="0" borderId="0" xfId="11" applyNumberFormat="1" applyFont="1" applyAlignment="1">
      <alignment horizontal="centerContinuous"/>
    </xf>
    <xf numFmtId="176" fontId="20" fillId="0" borderId="23" xfId="11" applyNumberFormat="1" applyFont="1" applyBorder="1" applyAlignment="1">
      <alignment horizontal="centerContinuous"/>
    </xf>
    <xf numFmtId="173" fontId="20" fillId="0" borderId="31" xfId="14" applyNumberFormat="1" applyFont="1" applyBorder="1" applyAlignment="1">
      <alignment horizontal="centerContinuous"/>
    </xf>
    <xf numFmtId="176" fontId="34" fillId="0" borderId="29" xfId="11" applyNumberFormat="1" applyFont="1" applyBorder="1" applyAlignment="1">
      <alignment horizontal="centerContinuous"/>
    </xf>
    <xf numFmtId="176" fontId="20" fillId="0" borderId="34" xfId="11" applyNumberFormat="1" applyFont="1" applyBorder="1"/>
    <xf numFmtId="176" fontId="20" fillId="0" borderId="33" xfId="11" applyNumberFormat="1" applyFont="1" applyBorder="1"/>
    <xf numFmtId="176" fontId="20" fillId="0" borderId="32" xfId="11" applyNumberFormat="1" applyFont="1" applyBorder="1"/>
    <xf numFmtId="173" fontId="20" fillId="0" borderId="49" xfId="14" applyNumberFormat="1" applyFont="1" applyBorder="1"/>
    <xf numFmtId="173" fontId="20" fillId="0" borderId="34" xfId="14" applyNumberFormat="1" applyFont="1" applyBorder="1" applyAlignment="1">
      <alignment horizontal="centerContinuous"/>
    </xf>
    <xf numFmtId="176" fontId="20" fillId="0" borderId="32" xfId="11" applyNumberFormat="1" applyFont="1" applyBorder="1" applyAlignment="1">
      <alignment horizontal="centerContinuous"/>
    </xf>
    <xf numFmtId="0" fontId="42" fillId="3" borderId="0" xfId="0" applyFont="1" applyFill="1"/>
    <xf numFmtId="0" fontId="42" fillId="0" borderId="0" xfId="0" applyFont="1"/>
    <xf numFmtId="0" fontId="43" fillId="0" borderId="0" xfId="0" applyFont="1"/>
    <xf numFmtId="14" fontId="43" fillId="4" borderId="0" xfId="0" applyNumberFormat="1" applyFont="1" applyFill="1" applyAlignment="1">
      <alignment horizontal="center"/>
    </xf>
    <xf numFmtId="0" fontId="44" fillId="3" borderId="0" xfId="0" applyFont="1" applyFill="1" applyAlignment="1">
      <alignment vertical="center" wrapText="1"/>
    </xf>
    <xf numFmtId="0" fontId="45" fillId="3" borderId="0" xfId="0" applyFont="1" applyFill="1"/>
    <xf numFmtId="0" fontId="44" fillId="3" borderId="0" xfId="0" applyFont="1" applyFill="1" applyAlignment="1">
      <alignment horizontal="center" vertical="center"/>
    </xf>
    <xf numFmtId="164" fontId="43" fillId="4" borderId="0" xfId="1" applyFont="1" applyFill="1" applyAlignment="1">
      <alignment horizontal="center"/>
    </xf>
    <xf numFmtId="1" fontId="43" fillId="4" borderId="0" xfId="0" applyNumberFormat="1" applyFont="1" applyFill="1" applyAlignment="1">
      <alignment horizontal="center"/>
    </xf>
    <xf numFmtId="0" fontId="44" fillId="3" borderId="0" xfId="0" applyFont="1" applyFill="1" applyAlignment="1">
      <alignment vertical="center"/>
    </xf>
    <xf numFmtId="17" fontId="43" fillId="4" borderId="0" xfId="0" applyNumberFormat="1" applyFont="1" applyFill="1" applyAlignment="1">
      <alignment horizontal="center"/>
    </xf>
    <xf numFmtId="14" fontId="44" fillId="3" borderId="0" xfId="0" applyNumberFormat="1" applyFont="1" applyFill="1" applyAlignment="1">
      <alignment horizontal="center" vertical="center"/>
    </xf>
    <xf numFmtId="0" fontId="47" fillId="3" borderId="0" xfId="0" applyFont="1" applyFill="1"/>
    <xf numFmtId="0" fontId="42" fillId="3" borderId="0" xfId="0" applyFont="1" applyFill="1" applyAlignment="1">
      <alignment horizontal="center"/>
    </xf>
    <xf numFmtId="0" fontId="42" fillId="2" borderId="0" xfId="0" applyFont="1" applyFill="1"/>
    <xf numFmtId="0" fontId="42" fillId="2" borderId="0" xfId="0" applyFont="1" applyFill="1" applyAlignment="1">
      <alignment horizontal="center"/>
    </xf>
    <xf numFmtId="0" fontId="47" fillId="2" borderId="0" xfId="0" applyFont="1" applyFill="1"/>
    <xf numFmtId="0" fontId="47" fillId="0" borderId="0" xfId="0" applyFont="1"/>
    <xf numFmtId="0" fontId="45" fillId="0" borderId="0" xfId="0" applyFont="1" applyAlignment="1">
      <alignment horizontal="center"/>
    </xf>
    <xf numFmtId="0" fontId="48" fillId="0" borderId="0" xfId="0" applyFont="1"/>
    <xf numFmtId="0" fontId="42" fillId="0" borderId="0" xfId="0" quotePrefix="1" applyFont="1"/>
    <xf numFmtId="0" fontId="49" fillId="0" borderId="0" xfId="2" applyFont="1" applyFill="1"/>
    <xf numFmtId="0" fontId="50" fillId="0" borderId="0" xfId="0" applyFont="1" applyAlignment="1">
      <alignment vertical="center" wrapText="1"/>
    </xf>
    <xf numFmtId="0" fontId="51" fillId="0" borderId="0" xfId="0" applyFont="1"/>
    <xf numFmtId="41" fontId="51" fillId="2" borderId="0" xfId="14" applyFont="1" applyFill="1"/>
    <xf numFmtId="4" fontId="51" fillId="0" borderId="0" xfId="0" applyNumberFormat="1" applyFont="1"/>
    <xf numFmtId="4" fontId="52" fillId="0" borderId="0" xfId="0" applyNumberFormat="1" applyFont="1"/>
    <xf numFmtId="0" fontId="52" fillId="0" borderId="0" xfId="0" applyFont="1"/>
    <xf numFmtId="4" fontId="42" fillId="0" borderId="0" xfId="0" applyNumberFormat="1" applyFont="1"/>
    <xf numFmtId="4" fontId="56" fillId="0" borderId="0" xfId="0" applyNumberFormat="1" applyFont="1"/>
    <xf numFmtId="0" fontId="57" fillId="0" borderId="0" xfId="0" applyFont="1" applyAlignment="1">
      <alignment horizontal="center"/>
    </xf>
    <xf numFmtId="41" fontId="57" fillId="0" borderId="0" xfId="14" applyFont="1" applyAlignment="1">
      <alignment horizontal="center"/>
    </xf>
    <xf numFmtId="0" fontId="58" fillId="0" borderId="20" xfId="0" applyFont="1" applyBorder="1"/>
    <xf numFmtId="1" fontId="58" fillId="2" borderId="21" xfId="0" applyNumberFormat="1" applyFont="1" applyFill="1" applyBorder="1" applyAlignment="1">
      <alignment horizontal="center" vertical="center"/>
    </xf>
    <xf numFmtId="1" fontId="58" fillId="2" borderId="22" xfId="0" applyNumberFormat="1" applyFont="1" applyFill="1" applyBorder="1" applyAlignment="1">
      <alignment horizontal="center" vertical="center"/>
    </xf>
    <xf numFmtId="0" fontId="58" fillId="0" borderId="23" xfId="0" applyFont="1" applyBorder="1"/>
    <xf numFmtId="41" fontId="42" fillId="2" borderId="0" xfId="14" applyFont="1" applyFill="1" applyBorder="1" applyAlignment="1">
      <alignment horizontal="center" vertical="center"/>
    </xf>
    <xf numFmtId="4" fontId="42" fillId="2" borderId="24" xfId="0" applyNumberFormat="1" applyFont="1" applyFill="1" applyBorder="1" applyAlignment="1">
      <alignment horizontal="center" vertical="center"/>
    </xf>
    <xf numFmtId="4" fontId="56" fillId="0" borderId="0" xfId="4" applyNumberFormat="1" applyFont="1" applyAlignment="1">
      <alignment vertical="center"/>
    </xf>
    <xf numFmtId="164" fontId="42" fillId="2" borderId="24" xfId="1" applyFont="1" applyFill="1" applyBorder="1" applyAlignment="1">
      <alignment horizontal="center" vertical="center"/>
    </xf>
    <xf numFmtId="0" fontId="42" fillId="0" borderId="23" xfId="0" applyFont="1" applyBorder="1"/>
    <xf numFmtId="173" fontId="42" fillId="0" borderId="0" xfId="14" applyNumberFormat="1" applyFont="1" applyBorder="1"/>
    <xf numFmtId="164" fontId="42" fillId="0" borderId="24" xfId="1" applyFont="1" applyBorder="1" applyAlignment="1">
      <alignment horizontal="center" vertical="center"/>
    </xf>
    <xf numFmtId="0" fontId="48" fillId="0" borderId="23" xfId="0" applyFont="1" applyBorder="1"/>
    <xf numFmtId="173" fontId="42" fillId="2" borderId="0" xfId="14" applyNumberFormat="1" applyFont="1" applyFill="1" applyBorder="1" applyAlignment="1">
      <alignment horizontal="center" vertical="center"/>
    </xf>
    <xf numFmtId="173" fontId="58" fillId="2" borderId="2" xfId="14" applyNumberFormat="1" applyFont="1" applyFill="1" applyBorder="1" applyAlignment="1">
      <alignment horizontal="center" vertical="center"/>
    </xf>
    <xf numFmtId="164" fontId="58" fillId="2" borderId="25" xfId="1" applyFont="1" applyFill="1" applyBorder="1" applyAlignment="1">
      <alignment horizontal="center" vertical="center"/>
    </xf>
    <xf numFmtId="173" fontId="42" fillId="0" borderId="0" xfId="14" applyNumberFormat="1" applyFont="1" applyBorder="1" applyAlignment="1">
      <alignment horizontal="center" vertical="center"/>
    </xf>
    <xf numFmtId="173" fontId="58" fillId="2" borderId="0" xfId="14" applyNumberFormat="1" applyFont="1" applyFill="1" applyBorder="1" applyAlignment="1">
      <alignment horizontal="center" vertical="center"/>
    </xf>
    <xf numFmtId="164" fontId="58" fillId="2" borderId="24" xfId="1" applyFont="1" applyFill="1" applyBorder="1" applyAlignment="1">
      <alignment horizontal="center" vertical="center"/>
    </xf>
    <xf numFmtId="173" fontId="58" fillId="2" borderId="10" xfId="14" applyNumberFormat="1" applyFont="1" applyFill="1" applyBorder="1" applyAlignment="1">
      <alignment horizontal="center" vertical="center"/>
    </xf>
    <xf numFmtId="164" fontId="58" fillId="2" borderId="26" xfId="1" applyFont="1" applyFill="1" applyBorder="1" applyAlignment="1">
      <alignment horizontal="center" vertical="center"/>
    </xf>
    <xf numFmtId="173" fontId="48" fillId="2" borderId="0" xfId="14" applyNumberFormat="1" applyFont="1" applyFill="1" applyBorder="1" applyAlignment="1">
      <alignment horizontal="center" vertical="center"/>
    </xf>
    <xf numFmtId="164" fontId="48" fillId="2" borderId="24" xfId="1" applyFont="1" applyFill="1" applyBorder="1" applyAlignment="1">
      <alignment horizontal="center" vertical="center"/>
    </xf>
    <xf numFmtId="173" fontId="48" fillId="2" borderId="1" xfId="14" applyNumberFormat="1" applyFont="1" applyFill="1" applyBorder="1" applyAlignment="1">
      <alignment horizontal="center" vertical="center"/>
    </xf>
    <xf numFmtId="164" fontId="48" fillId="2" borderId="27" xfId="1" applyFont="1" applyFill="1" applyBorder="1" applyAlignment="1">
      <alignment horizontal="center" vertical="center"/>
    </xf>
    <xf numFmtId="4" fontId="48" fillId="0" borderId="0" xfId="0" applyNumberFormat="1" applyFont="1"/>
    <xf numFmtId="4" fontId="59" fillId="0" borderId="0" xfId="0" applyNumberFormat="1" applyFont="1"/>
    <xf numFmtId="173" fontId="58" fillId="2" borderId="26" xfId="14" applyNumberFormat="1" applyFont="1" applyFill="1" applyBorder="1" applyAlignment="1">
      <alignment horizontal="center" vertical="center"/>
    </xf>
    <xf numFmtId="0" fontId="58" fillId="0" borderId="28" xfId="0" applyFont="1" applyBorder="1"/>
    <xf numFmtId="173" fontId="58" fillId="2" borderId="1" xfId="14" applyNumberFormat="1" applyFont="1" applyFill="1" applyBorder="1" applyAlignment="1">
      <alignment horizontal="center" vertical="center"/>
    </xf>
    <xf numFmtId="164" fontId="58" fillId="2" borderId="27" xfId="1" applyFont="1" applyFill="1" applyBorder="1" applyAlignment="1">
      <alignment horizontal="center" vertical="center"/>
    </xf>
    <xf numFmtId="173" fontId="58" fillId="2" borderId="24" xfId="14" applyNumberFormat="1" applyFont="1" applyFill="1" applyBorder="1" applyAlignment="1">
      <alignment horizontal="center" vertical="center"/>
    </xf>
    <xf numFmtId="173" fontId="58" fillId="0" borderId="2" xfId="14" applyNumberFormat="1" applyFont="1" applyBorder="1" applyAlignment="1">
      <alignment horizontal="center" vertical="center"/>
    </xf>
    <xf numFmtId="164" fontId="58" fillId="0" borderId="25" xfId="1" applyFont="1" applyBorder="1" applyAlignment="1">
      <alignment horizontal="center" vertical="center"/>
    </xf>
    <xf numFmtId="169" fontId="59" fillId="0" borderId="0" xfId="1" applyNumberFormat="1" applyFont="1" applyBorder="1"/>
    <xf numFmtId="164" fontId="59" fillId="0" borderId="0" xfId="1" applyFont="1" applyBorder="1"/>
    <xf numFmtId="0" fontId="55" fillId="0" borderId="23" xfId="0" applyFont="1" applyBorder="1"/>
    <xf numFmtId="173" fontId="55" fillId="2" borderId="10" xfId="14" applyNumberFormat="1" applyFont="1" applyFill="1" applyBorder="1" applyAlignment="1">
      <alignment horizontal="center" vertical="center"/>
    </xf>
    <xf numFmtId="0" fontId="58" fillId="0" borderId="29" xfId="0" applyFont="1" applyBorder="1"/>
    <xf numFmtId="41" fontId="48" fillId="2" borderId="30" xfId="14" applyFont="1" applyFill="1" applyBorder="1"/>
    <xf numFmtId="4" fontId="48" fillId="2" borderId="31" xfId="0" applyNumberFormat="1" applyFont="1" applyFill="1" applyBorder="1"/>
    <xf numFmtId="0" fontId="55" fillId="0" borderId="0" xfId="0" applyFont="1"/>
    <xf numFmtId="41" fontId="48" fillId="2" borderId="0" xfId="14" applyFont="1" applyFill="1"/>
    <xf numFmtId="4" fontId="48" fillId="2" borderId="0" xfId="0" applyNumberFormat="1" applyFont="1" applyFill="1"/>
    <xf numFmtId="41" fontId="42" fillId="2" borderId="0" xfId="14" applyFont="1" applyFill="1"/>
    <xf numFmtId="4" fontId="42" fillId="2" borderId="0" xfId="0" applyNumberFormat="1" applyFont="1" applyFill="1"/>
    <xf numFmtId="0" fontId="51" fillId="2" borderId="0" xfId="0" applyFont="1" applyFill="1"/>
    <xf numFmtId="0" fontId="54" fillId="0" borderId="0" xfId="0" applyFont="1" applyAlignment="1">
      <alignment horizontal="center"/>
    </xf>
    <xf numFmtId="0" fontId="42" fillId="0" borderId="32" xfId="0" applyFont="1" applyBorder="1"/>
    <xf numFmtId="0" fontId="42" fillId="0" borderId="28" xfId="0" applyFont="1" applyBorder="1"/>
    <xf numFmtId="164" fontId="42" fillId="0" borderId="0" xfId="1" applyFont="1" applyBorder="1" applyAlignment="1">
      <alignment horizontal="center" vertical="center"/>
    </xf>
    <xf numFmtId="164" fontId="42" fillId="0" borderId="0" xfId="1" applyFont="1" applyBorder="1" applyAlignment="1">
      <alignment horizontal="right" vertical="center"/>
    </xf>
    <xf numFmtId="164" fontId="42" fillId="0" borderId="24" xfId="1" applyFont="1" applyBorder="1" applyAlignment="1">
      <alignment horizontal="right" vertical="center"/>
    </xf>
    <xf numFmtId="49" fontId="48" fillId="0" borderId="23" xfId="0" applyNumberFormat="1" applyFont="1" applyBorder="1"/>
    <xf numFmtId="164" fontId="42" fillId="0" borderId="1" xfId="1" applyFont="1" applyBorder="1" applyAlignment="1">
      <alignment horizontal="right" vertical="center"/>
    </xf>
    <xf numFmtId="164" fontId="42" fillId="0" borderId="27" xfId="1" applyFont="1" applyBorder="1" applyAlignment="1">
      <alignment horizontal="right" vertical="center"/>
    </xf>
    <xf numFmtId="164" fontId="58" fillId="0" borderId="1" xfId="1" applyFont="1" applyBorder="1" applyAlignment="1">
      <alignment horizontal="right" vertical="center"/>
    </xf>
    <xf numFmtId="164" fontId="58" fillId="0" borderId="27" xfId="1" applyFont="1" applyBorder="1" applyAlignment="1">
      <alignment horizontal="right"/>
    </xf>
    <xf numFmtId="164" fontId="42" fillId="0" borderId="24" xfId="1" applyFont="1" applyBorder="1" applyAlignment="1">
      <alignment horizontal="right"/>
    </xf>
    <xf numFmtId="3" fontId="42" fillId="0" borderId="0" xfId="0" applyNumberFormat="1" applyFont="1"/>
    <xf numFmtId="49" fontId="42" fillId="0" borderId="23" xfId="0" applyNumberFormat="1" applyFont="1" applyBorder="1"/>
    <xf numFmtId="49" fontId="58" fillId="0" borderId="23" xfId="0" applyNumberFormat="1" applyFont="1" applyBorder="1"/>
    <xf numFmtId="164" fontId="58" fillId="0" borderId="2" xfId="1" applyFont="1" applyBorder="1" applyAlignment="1">
      <alignment horizontal="right" vertical="center"/>
    </xf>
    <xf numFmtId="164" fontId="58" fillId="0" borderId="25" xfId="1" applyFont="1" applyBorder="1" applyAlignment="1">
      <alignment horizontal="right"/>
    </xf>
    <xf numFmtId="164" fontId="58" fillId="0" borderId="10" xfId="1" applyFont="1" applyBorder="1" applyAlignment="1">
      <alignment horizontal="right" vertical="center"/>
    </xf>
    <xf numFmtId="164" fontId="58" fillId="0" borderId="26" xfId="1" applyFont="1" applyBorder="1" applyAlignment="1">
      <alignment horizontal="right"/>
    </xf>
    <xf numFmtId="4" fontId="60" fillId="0" borderId="0" xfId="0" applyNumberFormat="1" applyFont="1"/>
    <xf numFmtId="3" fontId="42" fillId="0" borderId="24" xfId="0" applyNumberFormat="1" applyFont="1" applyBorder="1" applyAlignment="1">
      <alignment horizontal="center" vertical="center"/>
    </xf>
    <xf numFmtId="49" fontId="42" fillId="0" borderId="29" xfId="0" applyNumberFormat="1" applyFont="1" applyBorder="1"/>
    <xf numFmtId="3" fontId="48" fillId="0" borderId="30" xfId="0" applyNumberFormat="1" applyFont="1" applyBorder="1"/>
    <xf numFmtId="3" fontId="42" fillId="0" borderId="31" xfId="0" applyNumberFormat="1" applyFont="1" applyBorder="1"/>
    <xf numFmtId="169" fontId="42" fillId="0" borderId="0" xfId="1" applyNumberFormat="1" applyFont="1"/>
    <xf numFmtId="49" fontId="58" fillId="0" borderId="0" xfId="0" applyNumberFormat="1" applyFont="1"/>
    <xf numFmtId="41" fontId="61" fillId="0" borderId="0" xfId="14" applyFont="1"/>
    <xf numFmtId="3" fontId="58" fillId="0" borderId="0" xfId="0" applyNumberFormat="1" applyFont="1"/>
    <xf numFmtId="0" fontId="60" fillId="0" borderId="0" xfId="0" applyFont="1"/>
    <xf numFmtId="3" fontId="60" fillId="0" borderId="0" xfId="0" applyNumberFormat="1" applyFont="1"/>
    <xf numFmtId="0" fontId="62" fillId="0" borderId="0" xfId="0" applyFont="1"/>
    <xf numFmtId="0" fontId="58" fillId="0" borderId="0" xfId="0" applyFont="1"/>
    <xf numFmtId="0" fontId="51" fillId="0" borderId="0" xfId="0" applyFont="1" applyAlignment="1">
      <alignment horizontal="center"/>
    </xf>
    <xf numFmtId="4" fontId="58" fillId="0" borderId="0" xfId="0" applyNumberFormat="1" applyFont="1"/>
    <xf numFmtId="0" fontId="42" fillId="0" borderId="0" xfId="0" applyFont="1" applyAlignment="1">
      <alignment horizont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4" xfId="0" applyFont="1" applyBorder="1" applyAlignment="1">
      <alignment horizontal="center" vertical="center" wrapText="1"/>
    </xf>
    <xf numFmtId="4" fontId="42" fillId="0" borderId="0" xfId="0" applyNumberFormat="1" applyFont="1" applyAlignment="1">
      <alignment horizontal="center"/>
    </xf>
    <xf numFmtId="0" fontId="58" fillId="0" borderId="6" xfId="0" applyFont="1" applyBorder="1" applyAlignment="1">
      <alignment horizontal="center" vertical="center" wrapText="1"/>
    </xf>
    <xf numFmtId="173" fontId="42" fillId="0" borderId="5" xfId="14" applyNumberFormat="1" applyFont="1" applyBorder="1" applyAlignment="1">
      <alignment horizontal="right"/>
    </xf>
    <xf numFmtId="173" fontId="42" fillId="0" borderId="7" xfId="14" applyNumberFormat="1" applyFont="1" applyBorder="1" applyAlignment="1">
      <alignment horizontal="right" vertical="center"/>
    </xf>
    <xf numFmtId="173" fontId="48" fillId="0" borderId="5" xfId="14" applyNumberFormat="1" applyFont="1" applyBorder="1" applyAlignment="1">
      <alignment horizontal="right"/>
    </xf>
    <xf numFmtId="0" fontId="58" fillId="0" borderId="0" xfId="0" applyFont="1" applyAlignment="1">
      <alignment horizontal="center"/>
    </xf>
    <xf numFmtId="0" fontId="58" fillId="0" borderId="8" xfId="0" applyFont="1" applyBorder="1" applyAlignment="1">
      <alignment horizontal="center" vertical="center" wrapText="1"/>
    </xf>
    <xf numFmtId="173" fontId="42" fillId="0" borderId="8" xfId="14" applyNumberFormat="1" applyFont="1" applyBorder="1" applyAlignment="1">
      <alignment horizontal="right"/>
    </xf>
    <xf numFmtId="173" fontId="48" fillId="0" borderId="8" xfId="14" applyNumberFormat="1" applyFont="1" applyBorder="1" applyAlignment="1">
      <alignment horizontal="right"/>
    </xf>
    <xf numFmtId="173" fontId="48" fillId="0" borderId="8" xfId="14" applyNumberFormat="1" applyFont="1" applyBorder="1" applyAlignment="1">
      <alignment horizontal="right" vertical="center"/>
    </xf>
    <xf numFmtId="0" fontId="58" fillId="0" borderId="0" xfId="0" applyFont="1" applyAlignment="1">
      <alignment vertical="center"/>
    </xf>
    <xf numFmtId="4" fontId="58" fillId="0" borderId="0" xfId="0" applyNumberFormat="1" applyFont="1" applyAlignment="1">
      <alignment vertical="center"/>
    </xf>
    <xf numFmtId="0" fontId="48" fillId="0" borderId="8" xfId="0" applyFont="1" applyBorder="1" applyAlignment="1">
      <alignment vertical="center"/>
    </xf>
    <xf numFmtId="0" fontId="48" fillId="0" borderId="8" xfId="0" applyFont="1" applyBorder="1" applyAlignment="1">
      <alignment horizontal="left"/>
    </xf>
    <xf numFmtId="0" fontId="58" fillId="0" borderId="0" xfId="0" applyFont="1" applyAlignment="1">
      <alignment horizontal="center" wrapText="1"/>
    </xf>
    <xf numFmtId="4" fontId="58" fillId="0" borderId="0" xfId="0" applyNumberFormat="1" applyFont="1" applyAlignment="1">
      <alignment horizontal="center"/>
    </xf>
    <xf numFmtId="14" fontId="58" fillId="0" borderId="0" xfId="0" applyNumberFormat="1" applyFont="1" applyAlignment="1">
      <alignment horizontal="center"/>
    </xf>
    <xf numFmtId="173" fontId="48" fillId="0" borderId="8" xfId="14" applyNumberFormat="1" applyFont="1" applyBorder="1" applyAlignment="1">
      <alignment horizontal="right" wrapText="1"/>
    </xf>
    <xf numFmtId="0" fontId="48" fillId="0" borderId="9" xfId="0" applyFont="1" applyBorder="1"/>
    <xf numFmtId="173" fontId="48" fillId="0" borderId="9" xfId="14" applyNumberFormat="1" applyFont="1" applyBorder="1" applyAlignment="1">
      <alignment horizontal="right"/>
    </xf>
    <xf numFmtId="3" fontId="58" fillId="0" borderId="4" xfId="0" applyNumberFormat="1" applyFont="1" applyBorder="1" applyAlignment="1">
      <alignment horizontal="center" vertical="center"/>
    </xf>
    <xf numFmtId="164" fontId="43" fillId="0" borderId="4" xfId="1" applyFont="1" applyBorder="1" applyAlignment="1">
      <alignment horizontal="center" vertical="center"/>
    </xf>
    <xf numFmtId="3" fontId="48" fillId="0" borderId="0" xfId="0" applyNumberFormat="1" applyFont="1"/>
    <xf numFmtId="4" fontId="48" fillId="0" borderId="1" xfId="0" applyNumberFormat="1" applyFont="1" applyBorder="1"/>
    <xf numFmtId="164" fontId="43" fillId="0" borderId="19" xfId="1" applyFont="1" applyBorder="1" applyAlignment="1">
      <alignment horizontal="center" vertical="center"/>
    </xf>
    <xf numFmtId="0" fontId="49" fillId="0" borderId="0" xfId="0" applyFont="1"/>
    <xf numFmtId="41" fontId="48" fillId="0" borderId="0" xfId="14" applyFont="1"/>
    <xf numFmtId="2" fontId="55" fillId="0" borderId="0" xfId="0" applyNumberFormat="1" applyFont="1" applyAlignment="1">
      <alignment horizontal="center"/>
    </xf>
    <xf numFmtId="2" fontId="48" fillId="0" borderId="0" xfId="0" applyNumberFormat="1" applyFont="1"/>
    <xf numFmtId="167" fontId="48" fillId="0" borderId="0" xfId="0" applyNumberFormat="1" applyFont="1" applyAlignment="1">
      <alignment horizontal="right"/>
    </xf>
    <xf numFmtId="0" fontId="48" fillId="0" borderId="6" xfId="0" applyFont="1" applyBorder="1"/>
    <xf numFmtId="0" fontId="48" fillId="0" borderId="11" xfId="0" applyFont="1" applyBorder="1"/>
    <xf numFmtId="0" fontId="48" fillId="0" borderId="16" xfId="0" applyFont="1" applyBorder="1"/>
    <xf numFmtId="1" fontId="58" fillId="0" borderId="1" xfId="0" applyNumberFormat="1" applyFont="1" applyBorder="1" applyAlignment="1">
      <alignment horizontal="center" vertical="center"/>
    </xf>
    <xf numFmtId="3" fontId="58" fillId="0" borderId="1" xfId="0" applyNumberFormat="1" applyFont="1" applyBorder="1" applyAlignment="1">
      <alignment horizontal="center" vertical="center"/>
    </xf>
    <xf numFmtId="3" fontId="58" fillId="0" borderId="14" xfId="0" applyNumberFormat="1" applyFont="1" applyBorder="1" applyAlignment="1">
      <alignment horizontal="center" vertical="center"/>
    </xf>
    <xf numFmtId="0" fontId="48" fillId="0" borderId="12" xfId="0" applyFont="1" applyBorder="1"/>
    <xf numFmtId="3" fontId="58" fillId="0" borderId="0" xfId="0" applyNumberFormat="1" applyFont="1" applyAlignment="1">
      <alignment horizontal="center" vertical="center"/>
    </xf>
    <xf numFmtId="0" fontId="58" fillId="0" borderId="0" xfId="0" applyFont="1" applyAlignment="1">
      <alignment horizontal="center" vertical="center"/>
    </xf>
    <xf numFmtId="164" fontId="58" fillId="0" borderId="13" xfId="1" applyFont="1" applyBorder="1" applyAlignment="1">
      <alignment horizontal="center" vertical="center"/>
    </xf>
    <xf numFmtId="0" fontId="58" fillId="0" borderId="12" xfId="0" applyFont="1" applyBorder="1"/>
    <xf numFmtId="164" fontId="43" fillId="2" borderId="1" xfId="1" applyFont="1" applyFill="1" applyBorder="1" applyAlignment="1">
      <alignment horizontal="center" vertical="center"/>
    </xf>
    <xf numFmtId="164" fontId="58" fillId="0" borderId="0" xfId="1" applyFont="1" applyBorder="1" applyAlignment="1">
      <alignment horizontal="right" vertical="center"/>
    </xf>
    <xf numFmtId="164" fontId="58" fillId="0" borderId="14" xfId="1" applyFont="1" applyBorder="1" applyAlignment="1">
      <alignment horizontal="right" vertical="center"/>
    </xf>
    <xf numFmtId="164" fontId="58" fillId="0" borderId="13" xfId="1" applyFont="1" applyBorder="1" applyAlignment="1">
      <alignment horizontal="right" vertical="center"/>
    </xf>
    <xf numFmtId="164" fontId="48" fillId="0" borderId="0" xfId="1" applyFont="1" applyBorder="1" applyAlignment="1">
      <alignment horizontal="right" vertical="center"/>
    </xf>
    <xf numFmtId="164" fontId="48" fillId="0" borderId="13" xfId="1" applyFont="1" applyBorder="1" applyAlignment="1">
      <alignment horizontal="right" vertical="center"/>
    </xf>
    <xf numFmtId="164" fontId="48" fillId="0" borderId="13" xfId="1" applyFont="1" applyBorder="1" applyAlignment="1">
      <alignment vertical="center"/>
    </xf>
    <xf numFmtId="164" fontId="42" fillId="2" borderId="0" xfId="1" applyFont="1" applyFill="1" applyBorder="1" applyAlignment="1">
      <alignment horizontal="right" vertical="center"/>
    </xf>
    <xf numFmtId="164" fontId="48" fillId="0" borderId="14" xfId="1" quotePrefix="1" applyFont="1" applyBorder="1" applyAlignment="1">
      <alignment horizontal="right" vertical="center"/>
    </xf>
    <xf numFmtId="164" fontId="58" fillId="0" borderId="15" xfId="1" applyFont="1" applyBorder="1" applyAlignment="1">
      <alignment horizontal="right" vertical="center"/>
    </xf>
    <xf numFmtId="4" fontId="42" fillId="2" borderId="0" xfId="0" applyNumberFormat="1" applyFont="1" applyFill="1" applyAlignment="1">
      <alignment horizontal="center" vertical="center"/>
    </xf>
    <xf numFmtId="164" fontId="48" fillId="0" borderId="1" xfId="1" applyFont="1" applyBorder="1" applyAlignment="1">
      <alignment horizontal="right" vertical="center"/>
    </xf>
    <xf numFmtId="164" fontId="48" fillId="0" borderId="14" xfId="1" applyFont="1" applyBorder="1" applyAlignment="1">
      <alignment horizontal="right" vertical="center"/>
    </xf>
    <xf numFmtId="0" fontId="58" fillId="0" borderId="17" xfId="0" applyFont="1" applyBorder="1"/>
    <xf numFmtId="164" fontId="58" fillId="0" borderId="3" xfId="1" applyFont="1" applyBorder="1" applyAlignment="1">
      <alignment horizontal="right" vertical="center"/>
    </xf>
    <xf numFmtId="164" fontId="58" fillId="0" borderId="18" xfId="1" applyFont="1" applyBorder="1" applyAlignment="1">
      <alignment horizontal="right" vertical="center"/>
    </xf>
    <xf numFmtId="41" fontId="56" fillId="0" borderId="1" xfId="14" applyFont="1" applyBorder="1"/>
    <xf numFmtId="37" fontId="48" fillId="0" borderId="1" xfId="0" applyNumberFormat="1" applyFont="1" applyBorder="1"/>
    <xf numFmtId="37" fontId="48" fillId="0" borderId="14" xfId="0" applyNumberFormat="1" applyFont="1" applyBorder="1"/>
    <xf numFmtId="168" fontId="48" fillId="0" borderId="0" xfId="0" applyNumberFormat="1" applyFont="1"/>
    <xf numFmtId="37" fontId="48" fillId="0" borderId="0" xfId="0" applyNumberFormat="1" applyFont="1"/>
    <xf numFmtId="164" fontId="48" fillId="0" borderId="0" xfId="0" applyNumberFormat="1" applyFont="1"/>
    <xf numFmtId="41" fontId="51" fillId="0" borderId="0" xfId="14" applyFont="1"/>
    <xf numFmtId="0" fontId="53" fillId="0" borderId="0" xfId="0" applyFont="1"/>
    <xf numFmtId="0" fontId="55" fillId="0" borderId="0" xfId="0" applyFont="1" applyAlignment="1">
      <alignment horizontal="center"/>
    </xf>
    <xf numFmtId="173" fontId="61" fillId="0" borderId="0" xfId="14" applyNumberFormat="1" applyFont="1" applyAlignment="1">
      <alignment horizontal="center"/>
    </xf>
    <xf numFmtId="41" fontId="58" fillId="2" borderId="35" xfId="14" applyFont="1" applyFill="1" applyBorder="1" applyAlignment="1">
      <alignment horizontal="center"/>
    </xf>
    <xf numFmtId="41" fontId="58" fillId="2" borderId="22" xfId="14" applyFont="1" applyFill="1" applyBorder="1" applyAlignment="1">
      <alignment horizontal="center"/>
    </xf>
    <xf numFmtId="41" fontId="42" fillId="2" borderId="0" xfId="14" applyFont="1" applyFill="1" applyBorder="1" applyAlignment="1">
      <alignment horizontal="center"/>
    </xf>
    <xf numFmtId="41" fontId="42" fillId="2" borderId="24" xfId="14" applyFont="1" applyFill="1" applyBorder="1" applyAlignment="1">
      <alignment horizontal="center"/>
    </xf>
    <xf numFmtId="41" fontId="58" fillId="2" borderId="2" xfId="14" applyFont="1" applyFill="1" applyBorder="1" applyAlignment="1">
      <alignment horizontal="center"/>
    </xf>
    <xf numFmtId="41" fontId="58" fillId="2" borderId="25" xfId="14" applyFont="1" applyFill="1" applyBorder="1" applyAlignment="1">
      <alignment horizontal="center"/>
    </xf>
    <xf numFmtId="4" fontId="60" fillId="2" borderId="0" xfId="0" applyNumberFormat="1" applyFont="1" applyFill="1"/>
    <xf numFmtId="3" fontId="60" fillId="2" borderId="0" xfId="0" applyNumberFormat="1" applyFont="1" applyFill="1"/>
    <xf numFmtId="41" fontId="58" fillId="2" borderId="0" xfId="14" applyFont="1" applyFill="1" applyBorder="1" applyAlignment="1">
      <alignment horizontal="center"/>
    </xf>
    <xf numFmtId="41" fontId="58" fillId="2" borderId="24" xfId="14" applyFont="1" applyFill="1" applyBorder="1" applyAlignment="1">
      <alignment horizontal="center"/>
    </xf>
    <xf numFmtId="41" fontId="48" fillId="2" borderId="0" xfId="14" applyFont="1" applyFill="1" applyBorder="1" applyAlignment="1">
      <alignment horizontal="center"/>
    </xf>
    <xf numFmtId="41" fontId="48" fillId="2" borderId="24" xfId="14" applyFont="1" applyFill="1" applyBorder="1" applyAlignment="1">
      <alignment horizontal="center"/>
    </xf>
    <xf numFmtId="41" fontId="58" fillId="2" borderId="0" xfId="14" applyFont="1" applyFill="1" applyBorder="1" applyAlignment="1">
      <alignment horizontal="center" vertical="center"/>
    </xf>
    <xf numFmtId="41" fontId="48" fillId="2" borderId="0" xfId="14" applyFont="1" applyFill="1" applyBorder="1" applyAlignment="1">
      <alignment horizontal="center" vertical="center"/>
    </xf>
    <xf numFmtId="41" fontId="48" fillId="2" borderId="1" xfId="14" applyFont="1" applyFill="1" applyBorder="1" applyAlignment="1">
      <alignment horizontal="center" vertical="center"/>
    </xf>
    <xf numFmtId="41" fontId="48" fillId="2" borderId="27" xfId="14" applyFont="1" applyFill="1" applyBorder="1" applyAlignment="1">
      <alignment horizontal="center" vertical="center"/>
    </xf>
    <xf numFmtId="41" fontId="58" fillId="2" borderId="10" xfId="14" applyFont="1" applyFill="1" applyBorder="1" applyAlignment="1">
      <alignment horizontal="center" vertical="center"/>
    </xf>
    <xf numFmtId="41" fontId="58" fillId="2" borderId="26" xfId="14" applyFont="1" applyFill="1" applyBorder="1" applyAlignment="1">
      <alignment horizontal="center" vertical="center"/>
    </xf>
    <xf numFmtId="41" fontId="58" fillId="2" borderId="10" xfId="14" applyFont="1" applyFill="1" applyBorder="1" applyAlignment="1">
      <alignment horizontal="center"/>
    </xf>
    <xf numFmtId="41" fontId="58" fillId="2" borderId="26" xfId="14" applyFont="1" applyFill="1" applyBorder="1" applyAlignment="1">
      <alignment horizontal="center"/>
    </xf>
    <xf numFmtId="41" fontId="58" fillId="2" borderId="1" xfId="14" applyFont="1" applyFill="1" applyBorder="1" applyAlignment="1">
      <alignment horizontal="center"/>
    </xf>
    <xf numFmtId="41" fontId="58" fillId="2" borderId="27" xfId="14" applyFont="1" applyFill="1" applyBorder="1" applyAlignment="1">
      <alignment horizontal="center"/>
    </xf>
    <xf numFmtId="41" fontId="58" fillId="2" borderId="11" xfId="14" applyFont="1" applyFill="1" applyBorder="1" applyAlignment="1">
      <alignment horizontal="center"/>
    </xf>
    <xf numFmtId="41" fontId="58" fillId="2" borderId="36" xfId="14" applyFont="1" applyFill="1" applyBorder="1" applyAlignment="1">
      <alignment horizontal="center"/>
    </xf>
    <xf numFmtId="41" fontId="58" fillId="0" borderId="2" xfId="14" applyFont="1" applyBorder="1" applyAlignment="1">
      <alignment horizontal="center"/>
    </xf>
    <xf numFmtId="41" fontId="58" fillId="0" borderId="25" xfId="14" applyFont="1" applyBorder="1" applyAlignment="1">
      <alignment horizontal="center"/>
    </xf>
    <xf numFmtId="0" fontId="42" fillId="0" borderId="29" xfId="0" applyFont="1" applyBorder="1"/>
    <xf numFmtId="41" fontId="56" fillId="2" borderId="31" xfId="14" applyFont="1" applyFill="1" applyBorder="1" applyAlignment="1">
      <alignment horizontal="center"/>
    </xf>
    <xf numFmtId="41" fontId="56" fillId="2" borderId="0" xfId="14" applyFont="1" applyFill="1" applyAlignment="1">
      <alignment horizontal="center"/>
    </xf>
    <xf numFmtId="41" fontId="55" fillId="2" borderId="0" xfId="14" applyFont="1" applyFill="1" applyAlignment="1">
      <alignment horizontal="center"/>
    </xf>
    <xf numFmtId="41" fontId="42" fillId="2" borderId="0" xfId="14" applyFont="1" applyFill="1" applyAlignment="1">
      <alignment horizontal="center"/>
    </xf>
    <xf numFmtId="41" fontId="51" fillId="2" borderId="0" xfId="14" applyFont="1" applyFill="1" applyAlignment="1">
      <alignment horizontal="right"/>
    </xf>
    <xf numFmtId="41" fontId="51" fillId="0" borderId="0" xfId="14" applyFont="1" applyAlignment="1">
      <alignment horizontal="right"/>
    </xf>
    <xf numFmtId="0" fontId="55" fillId="0" borderId="0" xfId="0" applyFont="1" applyAlignment="1">
      <alignment horizontal="centerContinuous"/>
    </xf>
    <xf numFmtId="14" fontId="55" fillId="0" borderId="0" xfId="0" applyNumberFormat="1" applyFont="1" applyAlignment="1">
      <alignment horizontal="center"/>
    </xf>
    <xf numFmtId="173" fontId="61" fillId="0" borderId="0" xfId="14" applyNumberFormat="1" applyFont="1" applyAlignment="1"/>
    <xf numFmtId="0" fontId="42" fillId="0" borderId="17" xfId="0" applyFont="1" applyBorder="1"/>
    <xf numFmtId="41" fontId="58" fillId="0" borderId="2" xfId="14" applyFont="1" applyBorder="1" applyAlignment="1">
      <alignment horizontal="right" vertical="center"/>
    </xf>
    <xf numFmtId="41" fontId="58" fillId="0" borderId="15" xfId="14" applyFont="1" applyBorder="1" applyAlignment="1">
      <alignment horizontal="right" vertical="center"/>
    </xf>
    <xf numFmtId="4" fontId="43" fillId="0" borderId="0" xfId="0" applyNumberFormat="1" applyFont="1"/>
    <xf numFmtId="41" fontId="42" fillId="0" borderId="0" xfId="14" applyFont="1" applyBorder="1" applyAlignment="1">
      <alignment horizontal="right" vertical="center"/>
    </xf>
    <xf numFmtId="41" fontId="42" fillId="0" borderId="13" xfId="14" applyFont="1" applyBorder="1" applyAlignment="1">
      <alignment horizontal="right" vertical="center"/>
    </xf>
    <xf numFmtId="4" fontId="58" fillId="0" borderId="0" xfId="4" applyNumberFormat="1" applyFont="1" applyAlignment="1">
      <alignment vertical="center"/>
    </xf>
    <xf numFmtId="49" fontId="48" fillId="0" borderId="12" xfId="0" applyNumberFormat="1" applyFont="1" applyBorder="1"/>
    <xf numFmtId="49" fontId="42" fillId="0" borderId="12" xfId="0" applyNumberFormat="1" applyFont="1" applyBorder="1"/>
    <xf numFmtId="49" fontId="58" fillId="0" borderId="12" xfId="0" applyNumberFormat="1" applyFont="1" applyBorder="1"/>
    <xf numFmtId="41" fontId="58" fillId="0" borderId="10" xfId="14" applyFont="1" applyBorder="1" applyAlignment="1">
      <alignment horizontal="right" vertical="center"/>
    </xf>
    <xf numFmtId="41" fontId="58" fillId="0" borderId="18" xfId="14" applyFont="1" applyBorder="1" applyAlignment="1">
      <alignment horizontal="right" vertical="center"/>
    </xf>
    <xf numFmtId="3" fontId="43" fillId="0" borderId="0" xfId="0" applyNumberFormat="1" applyFont="1"/>
    <xf numFmtId="49" fontId="42" fillId="0" borderId="16" xfId="0" applyNumberFormat="1" applyFont="1" applyBorder="1"/>
    <xf numFmtId="41" fontId="42" fillId="0" borderId="1" xfId="14" applyFont="1" applyBorder="1" applyAlignment="1">
      <alignment horizontal="right" vertical="center"/>
    </xf>
    <xf numFmtId="41" fontId="42" fillId="0" borderId="14" xfId="14" applyFont="1" applyBorder="1" applyAlignment="1">
      <alignment horizontal="right" vertical="center"/>
    </xf>
    <xf numFmtId="49" fontId="42" fillId="0" borderId="0" xfId="0" applyNumberFormat="1" applyFont="1"/>
    <xf numFmtId="41" fontId="42" fillId="0" borderId="0" xfId="14" applyFont="1" applyAlignment="1">
      <alignment horizontal="right"/>
    </xf>
    <xf numFmtId="49" fontId="60" fillId="0" borderId="0" xfId="0" applyNumberFormat="1" applyFont="1"/>
    <xf numFmtId="41" fontId="60" fillId="0" borderId="0" xfId="14" applyFont="1" applyAlignment="1">
      <alignment horizontal="right"/>
    </xf>
    <xf numFmtId="0" fontId="43" fillId="0" borderId="1" xfId="0" applyFont="1" applyBorder="1" applyAlignment="1">
      <alignment horizontal="center"/>
    </xf>
    <xf numFmtId="0" fontId="58" fillId="0" borderId="5" xfId="0" applyFont="1" applyBorder="1" applyAlignment="1">
      <alignment horizontal="center" vertical="center" wrapText="1"/>
    </xf>
    <xf numFmtId="41" fontId="42" fillId="0" borderId="5" xfId="14" applyFont="1" applyBorder="1" applyAlignment="1">
      <alignment horizontal="right" vertical="center"/>
    </xf>
    <xf numFmtId="41" fontId="48" fillId="0" borderId="5" xfId="14" applyFont="1" applyBorder="1" applyAlignment="1">
      <alignment horizontal="right" vertical="center"/>
    </xf>
    <xf numFmtId="3" fontId="42" fillId="0" borderId="0" xfId="0" applyNumberFormat="1" applyFont="1" applyAlignment="1">
      <alignment horizontal="center"/>
    </xf>
    <xf numFmtId="0" fontId="48" fillId="0" borderId="8" xfId="0" applyFont="1" applyBorder="1" applyAlignment="1">
      <alignment horizontal="center"/>
    </xf>
    <xf numFmtId="41" fontId="42" fillId="0" borderId="8" xfId="14" applyFont="1" applyBorder="1" applyAlignment="1">
      <alignment horizontal="center" vertical="center"/>
    </xf>
    <xf numFmtId="41" fontId="48" fillId="0" borderId="8" xfId="14" applyFont="1" applyBorder="1" applyAlignment="1">
      <alignment horizontal="center" vertical="center"/>
    </xf>
    <xf numFmtId="41" fontId="58" fillId="0" borderId="8" xfId="14" applyFont="1" applyBorder="1" applyAlignment="1">
      <alignment horizontal="center" vertical="center"/>
    </xf>
    <xf numFmtId="41" fontId="48" fillId="0" borderId="8" xfId="14" applyFont="1" applyBorder="1" applyAlignment="1">
      <alignment horizontal="center" vertical="center" wrapText="1"/>
    </xf>
    <xf numFmtId="0" fontId="48" fillId="0" borderId="8" xfId="0" applyFont="1" applyBorder="1" applyAlignment="1">
      <alignment horizontal="left" vertical="center"/>
    </xf>
    <xf numFmtId="41" fontId="48" fillId="0" borderId="8" xfId="14" applyFont="1" applyBorder="1" applyAlignment="1">
      <alignment horizontal="right" vertical="center"/>
    </xf>
    <xf numFmtId="0" fontId="48" fillId="0" borderId="9" xfId="0" applyFont="1" applyBorder="1" applyAlignment="1">
      <alignment vertical="center"/>
    </xf>
    <xf numFmtId="41" fontId="48" fillId="0" borderId="9" xfId="14" applyFont="1" applyBorder="1" applyAlignment="1">
      <alignment horizontal="center" vertical="center"/>
    </xf>
    <xf numFmtId="41" fontId="48" fillId="0" borderId="9" xfId="14" applyFont="1" applyBorder="1" applyAlignment="1">
      <alignment horizontal="right" vertical="center"/>
    </xf>
    <xf numFmtId="41" fontId="43" fillId="0" borderId="4" xfId="14" applyFont="1" applyBorder="1" applyAlignment="1">
      <alignment horizontal="center" vertical="center"/>
    </xf>
    <xf numFmtId="41" fontId="58" fillId="0" borderId="4" xfId="14" applyFont="1" applyBorder="1" applyAlignment="1">
      <alignment horizontal="center" vertical="center" wrapText="1"/>
    </xf>
    <xf numFmtId="41" fontId="43" fillId="0" borderId="19" xfId="14" applyFont="1" applyBorder="1" applyAlignment="1">
      <alignment horizontal="center" vertical="center"/>
    </xf>
    <xf numFmtId="3" fontId="64" fillId="0" borderId="0" xfId="0" applyNumberFormat="1" applyFont="1"/>
    <xf numFmtId="41" fontId="51" fillId="0" borderId="0" xfId="14" applyFont="1" applyAlignment="1">
      <alignment horizontal="center"/>
    </xf>
    <xf numFmtId="41" fontId="58" fillId="0" borderId="0" xfId="14" applyFont="1" applyAlignment="1"/>
    <xf numFmtId="3" fontId="52" fillId="0" borderId="0" xfId="0" applyNumberFormat="1" applyFont="1"/>
    <xf numFmtId="41" fontId="58" fillId="0" borderId="11" xfId="14" applyFont="1" applyBorder="1" applyAlignment="1">
      <alignment horizontal="center"/>
    </xf>
    <xf numFmtId="0" fontId="58" fillId="0" borderId="11" xfId="0" applyFont="1" applyBorder="1" applyAlignment="1">
      <alignment horizontal="center"/>
    </xf>
    <xf numFmtId="1" fontId="58" fillId="0" borderId="7" xfId="0" applyNumberFormat="1" applyFont="1" applyBorder="1" applyAlignment="1">
      <alignment horizontal="center"/>
    </xf>
    <xf numFmtId="0" fontId="64" fillId="0" borderId="0" xfId="0" applyFont="1"/>
    <xf numFmtId="41" fontId="58" fillId="0" borderId="0" xfId="14" applyFont="1" applyBorder="1" applyAlignment="1">
      <alignment horizontal="center"/>
    </xf>
    <xf numFmtId="3" fontId="58" fillId="0" borderId="13" xfId="0" applyNumberFormat="1" applyFont="1" applyBorder="1" applyAlignment="1">
      <alignment horizontal="center"/>
    </xf>
    <xf numFmtId="41" fontId="58" fillId="0" borderId="1" xfId="14" applyFont="1" applyBorder="1" applyAlignment="1">
      <alignment horizontal="right"/>
    </xf>
    <xf numFmtId="164" fontId="58" fillId="0" borderId="0" xfId="1" applyFont="1" applyBorder="1" applyAlignment="1">
      <alignment horizontal="center"/>
    </xf>
    <xf numFmtId="164" fontId="58" fillId="0" borderId="14" xfId="1" applyFont="1" applyBorder="1" applyAlignment="1">
      <alignment horizontal="center"/>
    </xf>
    <xf numFmtId="164" fontId="58" fillId="0" borderId="13" xfId="1" applyFont="1" applyBorder="1" applyAlignment="1">
      <alignment horizontal="center"/>
    </xf>
    <xf numFmtId="41" fontId="48" fillId="0" borderId="0" xfId="14" applyFont="1" applyBorder="1"/>
    <xf numFmtId="164" fontId="48" fillId="0" borderId="0" xfId="1" applyFont="1" applyBorder="1"/>
    <xf numFmtId="164" fontId="48" fillId="0" borderId="13" xfId="1" applyFont="1" applyBorder="1" applyAlignment="1">
      <alignment horizontal="center"/>
    </xf>
    <xf numFmtId="164" fontId="64" fillId="0" borderId="0" xfId="1" applyFont="1"/>
    <xf numFmtId="4" fontId="64" fillId="0" borderId="0" xfId="0" applyNumberFormat="1" applyFont="1"/>
    <xf numFmtId="41" fontId="48" fillId="0" borderId="0" xfId="14" applyFont="1" applyBorder="1" applyAlignment="1">
      <alignment vertical="center"/>
    </xf>
    <xf numFmtId="41" fontId="48" fillId="0" borderId="0" xfId="14" applyFont="1" applyBorder="1" applyAlignment="1">
      <alignment horizontal="right"/>
    </xf>
    <xf numFmtId="41" fontId="42" fillId="2" borderId="0" xfId="14" applyFont="1" applyFill="1" applyBorder="1"/>
    <xf numFmtId="41" fontId="48" fillId="0" borderId="2" xfId="14" applyFont="1" applyBorder="1" applyAlignment="1">
      <alignment horizontal="right"/>
    </xf>
    <xf numFmtId="164" fontId="48" fillId="0" borderId="15" xfId="1" applyFont="1" applyBorder="1" applyAlignment="1">
      <alignment horizontal="right"/>
    </xf>
    <xf numFmtId="164" fontId="48" fillId="0" borderId="13" xfId="1" applyFont="1" applyBorder="1" applyAlignment="1">
      <alignment horizontal="right"/>
    </xf>
    <xf numFmtId="41" fontId="48" fillId="0" borderId="1" xfId="14" applyFont="1" applyBorder="1" applyAlignment="1">
      <alignment vertical="center"/>
    </xf>
    <xf numFmtId="164" fontId="48" fillId="0" borderId="14" xfId="1" applyFont="1" applyBorder="1" applyAlignment="1">
      <alignment horizontal="right"/>
    </xf>
    <xf numFmtId="41" fontId="58" fillId="0" borderId="1" xfId="14" applyFont="1" applyBorder="1"/>
    <xf numFmtId="166" fontId="64" fillId="0" borderId="0" xfId="0" applyNumberFormat="1" applyFont="1"/>
    <xf numFmtId="41" fontId="58" fillId="0" borderId="3" xfId="14" applyFont="1" applyBorder="1"/>
    <xf numFmtId="164" fontId="58" fillId="0" borderId="0" xfId="1" applyFont="1" applyBorder="1"/>
    <xf numFmtId="164" fontId="58" fillId="0" borderId="18" xfId="1" applyFont="1" applyBorder="1"/>
    <xf numFmtId="37" fontId="56" fillId="0" borderId="1" xfId="0" applyNumberFormat="1" applyFont="1" applyBorder="1"/>
    <xf numFmtId="37" fontId="56" fillId="0" borderId="14" xfId="0" applyNumberFormat="1" applyFont="1" applyBorder="1"/>
    <xf numFmtId="41" fontId="56" fillId="0" borderId="0" xfId="14" applyFont="1"/>
    <xf numFmtId="37" fontId="56" fillId="0" borderId="0" xfId="0" applyNumberFormat="1" applyFont="1"/>
    <xf numFmtId="41" fontId="52" fillId="0" borderId="0" xfId="14" applyFont="1"/>
    <xf numFmtId="0" fontId="48" fillId="0" borderId="0" xfId="0" applyFont="1" applyAlignment="1">
      <alignment horizontal="center"/>
    </xf>
    <xf numFmtId="0" fontId="64" fillId="0" borderId="0" xfId="0" applyFont="1" applyAlignment="1">
      <alignment horizontal="center"/>
    </xf>
    <xf numFmtId="3" fontId="64" fillId="0" borderId="0" xfId="0" applyNumberFormat="1" applyFont="1" applyAlignment="1">
      <alignment horizontal="center"/>
    </xf>
    <xf numFmtId="0" fontId="48" fillId="0" borderId="0" xfId="0" applyFont="1" applyAlignment="1">
      <alignment horizontal="center" vertical="center"/>
    </xf>
    <xf numFmtId="0" fontId="48" fillId="0" borderId="16" xfId="0" applyFont="1" applyBorder="1" applyAlignment="1">
      <alignment horizontal="center" vertical="center"/>
    </xf>
    <xf numFmtId="41" fontId="58" fillId="0" borderId="1" xfId="14" applyFont="1" applyBorder="1" applyAlignment="1">
      <alignment horizontal="center" vertical="center"/>
    </xf>
    <xf numFmtId="0" fontId="58" fillId="0" borderId="1" xfId="0" applyFont="1" applyBorder="1" applyAlignment="1">
      <alignment horizontal="center" vertical="center"/>
    </xf>
    <xf numFmtId="0" fontId="64" fillId="0" borderId="0" xfId="0" applyFont="1" applyAlignment="1">
      <alignment horizontal="center" vertical="center"/>
    </xf>
    <xf numFmtId="3" fontId="64" fillId="0" borderId="0" xfId="0" applyNumberFormat="1" applyFont="1" applyAlignment="1">
      <alignment horizontal="center" vertical="center"/>
    </xf>
    <xf numFmtId="0" fontId="48" fillId="0" borderId="6" xfId="0" applyFont="1" applyBorder="1" applyAlignment="1">
      <alignment horizontal="center"/>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left" vertical="center"/>
    </xf>
    <xf numFmtId="0" fontId="65" fillId="0" borderId="0" xfId="2" applyFont="1" applyAlignment="1">
      <alignment horizontal="left"/>
    </xf>
    <xf numFmtId="0" fontId="43" fillId="0" borderId="0" xfId="0" applyFont="1" applyAlignment="1">
      <alignment horizontal="center" vertical="center"/>
    </xf>
    <xf numFmtId="0" fontId="42" fillId="0" borderId="0" xfId="0" applyFont="1" applyAlignment="1">
      <alignment horizontal="left" vertical="center" wrapText="1"/>
    </xf>
    <xf numFmtId="0" fontId="43" fillId="0" borderId="0" xfId="0" applyFont="1" applyAlignment="1">
      <alignment horizontal="left" vertical="center" wrapText="1"/>
    </xf>
    <xf numFmtId="0" fontId="67" fillId="0" borderId="4" xfId="0" applyFont="1" applyBorder="1" applyAlignment="1">
      <alignment horizontal="left" vertical="center"/>
    </xf>
    <xf numFmtId="0" fontId="67" fillId="0" borderId="4" xfId="0" applyFont="1" applyBorder="1" applyAlignment="1">
      <alignment horizontal="center" vertical="center" wrapText="1"/>
    </xf>
    <xf numFmtId="0" fontId="68" fillId="0" borderId="4" xfId="0" applyFont="1" applyBorder="1" applyAlignment="1">
      <alignment horizontal="left" vertical="center"/>
    </xf>
    <xf numFmtId="173" fontId="48" fillId="0" borderId="4" xfId="14" applyNumberFormat="1" applyFont="1" applyBorder="1" applyAlignment="1">
      <alignment vertical="center"/>
    </xf>
    <xf numFmtId="0" fontId="68" fillId="0" borderId="4" xfId="0" applyFont="1" applyBorder="1" applyAlignment="1">
      <alignment horizontal="center" vertical="center"/>
    </xf>
    <xf numFmtId="173" fontId="68" fillId="0" borderId="4" xfId="14" applyNumberFormat="1" applyFont="1" applyBorder="1" applyAlignment="1">
      <alignment horizontal="center" vertical="center"/>
    </xf>
    <xf numFmtId="164" fontId="68" fillId="0" borderId="4" xfId="1" applyFont="1" applyBorder="1" applyAlignment="1">
      <alignment horizontal="center" vertical="center"/>
    </xf>
    <xf numFmtId="173" fontId="42" fillId="2" borderId="4" xfId="14" applyNumberFormat="1" applyFont="1" applyFill="1" applyBorder="1" applyAlignment="1">
      <alignment horizontal="center" vertical="center"/>
    </xf>
    <xf numFmtId="43" fontId="42" fillId="0" borderId="0" xfId="0" applyNumberFormat="1" applyFont="1"/>
    <xf numFmtId="41" fontId="68" fillId="0" borderId="4" xfId="14" applyFont="1" applyBorder="1" applyAlignment="1">
      <alignment horizontal="center" vertical="center"/>
    </xf>
    <xf numFmtId="41" fontId="42" fillId="0" borderId="0" xfId="14" applyFont="1"/>
    <xf numFmtId="164" fontId="67" fillId="0" borderId="4" xfId="1" applyFont="1" applyBorder="1" applyAlignment="1">
      <alignment horizontal="center" vertical="center"/>
    </xf>
    <xf numFmtId="41" fontId="67" fillId="0" borderId="4" xfId="14" applyFont="1" applyBorder="1" applyAlignment="1">
      <alignment horizontal="center" vertical="center"/>
    </xf>
    <xf numFmtId="164" fontId="42" fillId="0" borderId="0" xfId="0" applyNumberFormat="1" applyFont="1" applyAlignment="1">
      <alignment horizontal="left"/>
    </xf>
    <xf numFmtId="0" fontId="67" fillId="0" borderId="4" xfId="0" applyFont="1" applyBorder="1" applyAlignment="1">
      <alignment horizontal="center" vertical="center"/>
    </xf>
    <xf numFmtId="0" fontId="42" fillId="0" borderId="4" xfId="0" applyFont="1" applyBorder="1" applyAlignment="1">
      <alignment horizontal="center" vertical="center"/>
    </xf>
    <xf numFmtId="164" fontId="42" fillId="0" borderId="4" xfId="1" applyFont="1" applyBorder="1" applyAlignment="1">
      <alignment horizontal="right" vertical="center"/>
    </xf>
    <xf numFmtId="0" fontId="68" fillId="0" borderId="4" xfId="0" applyFont="1" applyBorder="1" applyAlignment="1">
      <alignment horizontal="right" vertical="center"/>
    </xf>
    <xf numFmtId="0" fontId="42" fillId="0" borderId="4" xfId="0" applyFont="1" applyBorder="1" applyAlignment="1">
      <alignment horizontal="center"/>
    </xf>
    <xf numFmtId="164" fontId="42" fillId="0" borderId="0" xfId="1" applyFont="1"/>
    <xf numFmtId="171" fontId="42" fillId="0" borderId="0" xfId="0" applyNumberFormat="1" applyFont="1"/>
    <xf numFmtId="172" fontId="42" fillId="0" borderId="4" xfId="1" applyNumberFormat="1" applyFont="1" applyFill="1" applyBorder="1" applyAlignment="1">
      <alignment horizontal="right" vertical="center"/>
    </xf>
    <xf numFmtId="164" fontId="68" fillId="0" borderId="4" xfId="1" applyFont="1" applyFill="1" applyBorder="1" applyAlignment="1">
      <alignment horizontal="center" vertical="center"/>
    </xf>
    <xf numFmtId="171" fontId="42" fillId="0" borderId="0" xfId="0" applyNumberFormat="1" applyFont="1" applyAlignment="1">
      <alignment horizontal="left"/>
    </xf>
    <xf numFmtId="164" fontId="42" fillId="0" borderId="0" xfId="1" applyFont="1" applyFill="1"/>
    <xf numFmtId="0" fontId="42" fillId="0" borderId="12" xfId="0" applyFont="1" applyBorder="1"/>
    <xf numFmtId="164" fontId="42" fillId="0" borderId="4" xfId="1" applyFont="1" applyBorder="1"/>
    <xf numFmtId="0" fontId="43" fillId="0" borderId="0" xfId="0" applyFont="1" applyAlignment="1">
      <alignment vertical="center"/>
    </xf>
    <xf numFmtId="173" fontId="42" fillId="0" borderId="4" xfId="14" applyNumberFormat="1" applyFont="1" applyBorder="1"/>
    <xf numFmtId="164" fontId="68" fillId="0" borderId="4" xfId="1" applyFont="1" applyBorder="1" applyAlignment="1">
      <alignment horizontal="center" vertical="center" wrapText="1"/>
    </xf>
    <xf numFmtId="173" fontId="67" fillId="0" borderId="4" xfId="14" applyNumberFormat="1" applyFont="1" applyBorder="1" applyAlignment="1">
      <alignment horizontal="right" vertical="center"/>
    </xf>
    <xf numFmtId="0" fontId="42" fillId="0" borderId="0" xfId="0" applyFont="1" applyAlignment="1">
      <alignment vertical="center"/>
    </xf>
    <xf numFmtId="0" fontId="42" fillId="0" borderId="0" xfId="0" applyFont="1" applyAlignment="1">
      <alignment vertical="top" wrapText="1"/>
    </xf>
    <xf numFmtId="0" fontId="42" fillId="0" borderId="0" xfId="0" applyFont="1" applyAlignment="1">
      <alignment vertical="top"/>
    </xf>
    <xf numFmtId="173" fontId="48" fillId="0" borderId="0" xfId="14" applyNumberFormat="1" applyFont="1" applyBorder="1" applyAlignment="1">
      <alignment horizontal="center" vertical="center"/>
    </xf>
    <xf numFmtId="174" fontId="24" fillId="0" borderId="41" xfId="11" applyNumberFormat="1" applyFont="1" applyBorder="1"/>
    <xf numFmtId="176" fontId="24" fillId="0" borderId="5" xfId="11" applyNumberFormat="1" applyFont="1" applyBorder="1"/>
    <xf numFmtId="176" fontId="24" fillId="0" borderId="4" xfId="11" applyNumberFormat="1" applyFont="1" applyBorder="1"/>
    <xf numFmtId="173" fontId="24" fillId="0" borderId="4" xfId="14" applyNumberFormat="1" applyFont="1" applyFill="1" applyBorder="1"/>
    <xf numFmtId="173" fontId="24" fillId="0" borderId="5" xfId="14" applyNumberFormat="1" applyFont="1" applyFill="1" applyBorder="1"/>
    <xf numFmtId="173" fontId="24" fillId="0" borderId="9" xfId="14" applyNumberFormat="1" applyFont="1" applyFill="1" applyBorder="1"/>
    <xf numFmtId="176" fontId="71" fillId="0" borderId="4" xfId="11" applyNumberFormat="1" applyFont="1" applyBorder="1"/>
    <xf numFmtId="176" fontId="71" fillId="0" borderId="0" xfId="11" applyNumberFormat="1" applyFont="1"/>
    <xf numFmtId="176" fontId="71" fillId="0" borderId="39" xfId="11" applyNumberFormat="1" applyFont="1" applyBorder="1"/>
    <xf numFmtId="3" fontId="71" fillId="0" borderId="0" xfId="11" applyNumberFormat="1" applyFont="1"/>
    <xf numFmtId="0" fontId="71" fillId="0" borderId="0" xfId="11" applyFont="1"/>
    <xf numFmtId="41" fontId="61" fillId="0" borderId="1" xfId="14" applyFont="1" applyBorder="1"/>
    <xf numFmtId="41" fontId="61" fillId="2" borderId="30" xfId="14" applyFont="1" applyFill="1" applyBorder="1" applyAlignment="1">
      <alignment horizontal="center"/>
    </xf>
    <xf numFmtId="174" fontId="72" fillId="0" borderId="41" xfId="11" applyNumberFormat="1" applyFont="1" applyBorder="1"/>
    <xf numFmtId="176" fontId="73" fillId="0" borderId="5" xfId="11" applyNumberFormat="1" applyFont="1" applyBorder="1"/>
    <xf numFmtId="176" fontId="73" fillId="0" borderId="4" xfId="11" applyNumberFormat="1" applyFont="1" applyBorder="1"/>
    <xf numFmtId="173" fontId="74" fillId="0" borderId="4" xfId="14" applyNumberFormat="1" applyFont="1" applyFill="1" applyBorder="1"/>
    <xf numFmtId="173" fontId="73" fillId="0" borderId="5" xfId="14" applyNumberFormat="1" applyFont="1" applyFill="1" applyBorder="1"/>
    <xf numFmtId="173" fontId="74" fillId="0" borderId="9" xfId="14" applyNumberFormat="1" applyFont="1" applyFill="1" applyBorder="1"/>
    <xf numFmtId="176" fontId="73" fillId="0" borderId="39" xfId="11" applyNumberFormat="1" applyFont="1" applyBorder="1"/>
    <xf numFmtId="0" fontId="73" fillId="0" borderId="0" xfId="11" applyFont="1"/>
    <xf numFmtId="41" fontId="56" fillId="0" borderId="0" xfId="14" applyFont="1" applyBorder="1" applyAlignment="1">
      <alignment horizontal="right" vertical="center"/>
    </xf>
    <xf numFmtId="174" fontId="21" fillId="0" borderId="5" xfId="11" applyNumberFormat="1" applyFont="1" applyBorder="1"/>
    <xf numFmtId="0" fontId="75" fillId="0" borderId="0" xfId="0" applyFont="1"/>
    <xf numFmtId="0" fontId="0" fillId="0" borderId="4" xfId="0" applyBorder="1" applyAlignment="1">
      <alignment horizontal="left" vertical="center"/>
    </xf>
    <xf numFmtId="14" fontId="0" fillId="0" borderId="4" xfId="0" applyNumberFormat="1" applyBorder="1" applyAlignment="1">
      <alignment horizontal="center" vertical="center"/>
    </xf>
    <xf numFmtId="164" fontId="0" fillId="0" borderId="4" xfId="1" applyFont="1" applyBorder="1" applyAlignment="1">
      <alignment horizontal="left" vertical="center"/>
    </xf>
    <xf numFmtId="164" fontId="0" fillId="0" borderId="4" xfId="1" applyFont="1" applyBorder="1" applyAlignment="1">
      <alignment horizontal="right" vertical="center"/>
    </xf>
    <xf numFmtId="10" fontId="0" fillId="0" borderId="4" xfId="1" applyNumberFormat="1" applyFont="1" applyBorder="1" applyAlignment="1">
      <alignment horizontal="right" vertical="center"/>
    </xf>
    <xf numFmtId="10" fontId="0" fillId="0" borderId="4" xfId="3" applyNumberFormat="1" applyFont="1" applyBorder="1" applyAlignment="1">
      <alignment horizontal="right" vertical="center"/>
    </xf>
    <xf numFmtId="170" fontId="0" fillId="0" borderId="4" xfId="3" applyNumberFormat="1" applyFont="1" applyBorder="1" applyAlignment="1">
      <alignment horizontal="right" vertical="center"/>
    </xf>
    <xf numFmtId="0" fontId="75" fillId="0" borderId="4" xfId="0" applyFont="1" applyBorder="1" applyAlignment="1">
      <alignment horizontal="left" vertical="center"/>
    </xf>
    <xf numFmtId="164" fontId="75" fillId="0" borderId="4" xfId="1" applyFont="1" applyBorder="1" applyAlignment="1">
      <alignment horizontal="left" vertical="center"/>
    </xf>
    <xf numFmtId="14" fontId="75" fillId="0" borderId="4" xfId="0" applyNumberFormat="1" applyFont="1" applyBorder="1" applyAlignment="1">
      <alignment horizontal="center" vertical="center"/>
    </xf>
    <xf numFmtId="164" fontId="75" fillId="0" borderId="4" xfId="1" applyFont="1" applyBorder="1" applyAlignment="1">
      <alignment horizontal="right" vertical="center"/>
    </xf>
    <xf numFmtId="10" fontId="75" fillId="0" borderId="4" xfId="3" applyNumberFormat="1" applyFont="1" applyBorder="1" applyAlignment="1">
      <alignment horizontal="right" vertical="center"/>
    </xf>
    <xf numFmtId="170" fontId="75" fillId="0" borderId="4" xfId="3" applyNumberFormat="1" applyFont="1" applyBorder="1" applyAlignment="1">
      <alignment horizontal="right" vertical="center"/>
    </xf>
    <xf numFmtId="164" fontId="0" fillId="0" borderId="4" xfId="1" applyFont="1" applyBorder="1" applyAlignment="1">
      <alignment horizontal="center" vertical="center"/>
    </xf>
    <xf numFmtId="0" fontId="2" fillId="0" borderId="4" xfId="0" applyFont="1" applyBorder="1" applyAlignment="1">
      <alignment horizontal="left" vertical="center"/>
    </xf>
    <xf numFmtId="164" fontId="2" fillId="0" borderId="4" xfId="1" applyFont="1" applyBorder="1" applyAlignment="1">
      <alignment horizontal="left" vertical="center"/>
    </xf>
    <xf numFmtId="0" fontId="2" fillId="0" borderId="4" xfId="0" applyFont="1" applyBorder="1" applyAlignment="1">
      <alignment horizontal="center" vertical="center"/>
    </xf>
    <xf numFmtId="14" fontId="2" fillId="0" borderId="4" xfId="0" applyNumberFormat="1" applyFont="1" applyBorder="1" applyAlignment="1">
      <alignment horizontal="center" vertical="center"/>
    </xf>
    <xf numFmtId="164" fontId="2" fillId="0" borderId="4" xfId="1" applyFont="1" applyBorder="1" applyAlignment="1">
      <alignment horizontal="center" vertical="center"/>
    </xf>
    <xf numFmtId="164" fontId="2" fillId="0" borderId="4" xfId="1" applyFont="1" applyBorder="1" applyAlignment="1">
      <alignment horizontal="right" vertical="center"/>
    </xf>
    <xf numFmtId="169" fontId="2" fillId="0" borderId="4" xfId="1" applyNumberFormat="1" applyFont="1" applyBorder="1" applyAlignment="1">
      <alignment horizontal="right" vertical="center"/>
    </xf>
    <xf numFmtId="10" fontId="2" fillId="0" borderId="4" xfId="3" applyNumberFormat="1" applyFont="1" applyBorder="1" applyAlignment="1">
      <alignment horizontal="right" vertical="center"/>
    </xf>
    <xf numFmtId="170" fontId="2" fillId="0" borderId="4" xfId="3" applyNumberFormat="1" applyFont="1" applyBorder="1" applyAlignment="1">
      <alignment horizontal="right" vertical="center"/>
    </xf>
    <xf numFmtId="43" fontId="76" fillId="0" borderId="0" xfId="0" applyNumberFormat="1" applyFont="1"/>
    <xf numFmtId="0" fontId="76" fillId="0" borderId="0" xfId="0" applyFont="1"/>
    <xf numFmtId="0" fontId="70" fillId="0" borderId="0" xfId="0" applyFont="1"/>
    <xf numFmtId="164" fontId="70" fillId="0" borderId="0" xfId="1" applyFont="1"/>
    <xf numFmtId="173" fontId="76" fillId="0" borderId="0" xfId="14" applyNumberFormat="1" applyFont="1"/>
    <xf numFmtId="173" fontId="70" fillId="0" borderId="0" xfId="14" applyNumberFormat="1" applyFont="1"/>
    <xf numFmtId="43" fontId="70" fillId="0" borderId="0" xfId="0" applyNumberFormat="1" applyFont="1"/>
    <xf numFmtId="165" fontId="70" fillId="0" borderId="0" xfId="0" applyNumberFormat="1" applyFont="1"/>
    <xf numFmtId="164" fontId="70" fillId="0" borderId="0" xfId="0" applyNumberFormat="1" applyFont="1"/>
    <xf numFmtId="14" fontId="0" fillId="0" borderId="4" xfId="0" applyNumberFormat="1" applyBorder="1" applyAlignment="1">
      <alignment horizontal="right" vertical="center"/>
    </xf>
    <xf numFmtId="0" fontId="46" fillId="3" borderId="0" xfId="0" applyFont="1" applyFill="1" applyAlignment="1">
      <alignment horizontal="center" vertical="center"/>
    </xf>
    <xf numFmtId="0" fontId="44" fillId="3" borderId="0" xfId="0" applyFont="1" applyFill="1" applyAlignment="1">
      <alignment horizontal="center" vertical="center"/>
    </xf>
    <xf numFmtId="14" fontId="44" fillId="3" borderId="0" xfId="0" applyNumberFormat="1" applyFont="1" applyFill="1" applyAlignment="1">
      <alignment horizontal="center" vertical="center"/>
    </xf>
    <xf numFmtId="0" fontId="54" fillId="0" borderId="0" xfId="0" applyFont="1" applyAlignment="1">
      <alignment horizontal="center"/>
    </xf>
    <xf numFmtId="0" fontId="55" fillId="0" borderId="0" xfId="0" applyFont="1" applyAlignment="1">
      <alignment horizontal="center" vertical="center"/>
    </xf>
    <xf numFmtId="0" fontId="53" fillId="0" borderId="0" xfId="0" applyFont="1" applyAlignment="1">
      <alignment horizontal="center" wrapText="1"/>
    </xf>
    <xf numFmtId="0" fontId="48" fillId="0" borderId="0" xfId="0" applyFont="1" applyAlignment="1">
      <alignment horizontal="center"/>
    </xf>
    <xf numFmtId="1" fontId="58" fillId="0" borderId="33" xfId="0" applyNumberFormat="1" applyFont="1" applyBorder="1" applyAlignment="1">
      <alignment horizontal="center" vertical="center"/>
    </xf>
    <xf numFmtId="0" fontId="58" fillId="0" borderId="1" xfId="0" applyFont="1" applyBorder="1" applyAlignment="1">
      <alignment horizontal="center" vertical="center"/>
    </xf>
    <xf numFmtId="1" fontId="58" fillId="0" borderId="34" xfId="0" applyNumberFormat="1" applyFont="1" applyBorder="1" applyAlignment="1">
      <alignment horizontal="center" vertical="center"/>
    </xf>
    <xf numFmtId="0" fontId="58" fillId="0" borderId="27" xfId="0" applyFont="1" applyBorder="1" applyAlignment="1">
      <alignment horizontal="center" vertical="center"/>
    </xf>
    <xf numFmtId="0" fontId="53" fillId="0" borderId="0" xfId="0" applyFont="1" applyAlignment="1">
      <alignment horizontal="center"/>
    </xf>
    <xf numFmtId="0" fontId="42" fillId="0" borderId="0" xfId="0" applyFont="1" applyAlignment="1">
      <alignment horizontal="center"/>
    </xf>
    <xf numFmtId="0" fontId="58" fillId="0" borderId="0" xfId="0" applyFont="1" applyAlignment="1">
      <alignment horizontal="center"/>
    </xf>
    <xf numFmtId="0" fontId="63" fillId="0" borderId="0" xfId="0" applyFont="1" applyAlignment="1">
      <alignment horizontal="center"/>
    </xf>
    <xf numFmtId="1" fontId="58" fillId="0" borderId="7" xfId="0" applyNumberFormat="1" applyFont="1" applyBorder="1" applyAlignment="1">
      <alignment horizontal="center" vertical="center"/>
    </xf>
    <xf numFmtId="1" fontId="58" fillId="0" borderId="14" xfId="0" applyNumberFormat="1" applyFont="1" applyBorder="1" applyAlignment="1">
      <alignment horizontal="center" vertical="center"/>
    </xf>
    <xf numFmtId="1" fontId="58" fillId="0" borderId="11" xfId="0" applyNumberFormat="1" applyFont="1" applyBorder="1" applyAlignment="1">
      <alignment horizontal="center" vertical="center"/>
    </xf>
    <xf numFmtId="1" fontId="58" fillId="0" borderId="1" xfId="0" applyNumberFormat="1" applyFont="1" applyBorder="1" applyAlignment="1">
      <alignment horizontal="center" vertical="center"/>
    </xf>
    <xf numFmtId="0" fontId="51" fillId="0" borderId="0" xfId="0" applyFont="1" applyAlignment="1">
      <alignment horizontal="center"/>
    </xf>
    <xf numFmtId="14" fontId="55" fillId="0" borderId="0" xfId="0" applyNumberFormat="1" applyFont="1" applyAlignment="1">
      <alignment horizontal="center"/>
    </xf>
    <xf numFmtId="0" fontId="55" fillId="0" borderId="0" xfId="0" applyFont="1" applyAlignment="1">
      <alignment horizontal="center"/>
    </xf>
    <xf numFmtId="0" fontId="62" fillId="0" borderId="0" xfId="0" applyFont="1" applyAlignment="1">
      <alignment horizontal="center"/>
    </xf>
    <xf numFmtId="0" fontId="43" fillId="0" borderId="0" xfId="0" applyFont="1" applyAlignment="1">
      <alignment horizontal="center"/>
    </xf>
    <xf numFmtId="0" fontId="43" fillId="0" borderId="0" xfId="0" applyFont="1" applyAlignment="1">
      <alignment horizontal="center" vertical="center"/>
    </xf>
    <xf numFmtId="0" fontId="42" fillId="0" borderId="0" xfId="0" applyFont="1" applyAlignment="1">
      <alignment horizontal="left" vertical="center" wrapText="1"/>
    </xf>
    <xf numFmtId="0" fontId="43" fillId="0" borderId="0" xfId="0" applyFont="1" applyAlignment="1">
      <alignment horizontal="left" vertical="center" wrapText="1"/>
    </xf>
    <xf numFmtId="0" fontId="42" fillId="0" borderId="0" xfId="0" applyFont="1" applyAlignment="1">
      <alignment horizontal="left" vertical="top" wrapText="1"/>
    </xf>
    <xf numFmtId="0" fontId="67" fillId="0" borderId="4" xfId="0" applyFont="1" applyBorder="1" applyAlignment="1">
      <alignment horizontal="center" vertical="center"/>
    </xf>
    <xf numFmtId="0" fontId="68" fillId="0" borderId="17" xfId="0" applyFont="1" applyBorder="1" applyAlignment="1">
      <alignment horizontal="center" vertical="center"/>
    </xf>
    <xf numFmtId="0" fontId="68" fillId="0" borderId="15"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center" vertical="center" wrapText="1"/>
    </xf>
    <xf numFmtId="0" fontId="42"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xf>
  </cellXfs>
  <cellStyles count="16">
    <cellStyle name="Excel Built-in Normal" xfId="5" xr:uid="{00000000-0005-0000-0000-000000000000}"/>
    <cellStyle name="Hipervínculo" xfId="2" builtinId="8"/>
    <cellStyle name="Millares" xfId="1" builtinId="3"/>
    <cellStyle name="Millares [0]" xfId="14" builtinId="6"/>
    <cellStyle name="Millares [0] 2" xfId="8" xr:uid="{00000000-0005-0000-0000-000004000000}"/>
    <cellStyle name="Millares [0] 2 2" xfId="9" xr:uid="{00000000-0005-0000-0000-000005000000}"/>
    <cellStyle name="Millares [0] 3" xfId="7" xr:uid="{00000000-0005-0000-0000-000006000000}"/>
    <cellStyle name="Millares 10" xfId="13" xr:uid="{3A84075D-396D-45B2-9C3D-2ADBB2DEE384}"/>
    <cellStyle name="Millares 2" xfId="10" xr:uid="{00000000-0005-0000-0000-000007000000}"/>
    <cellStyle name="Millares 2 2" xfId="15" xr:uid="{662D1792-7228-44B5-86FC-8864EC1E436D}"/>
    <cellStyle name="Millares 3" xfId="6" xr:uid="{00000000-0005-0000-0000-000008000000}"/>
    <cellStyle name="Normal" xfId="0" builtinId="0"/>
    <cellStyle name="Normal 2" xfId="11" xr:uid="{00000000-0005-0000-0000-00000A000000}"/>
    <cellStyle name="Normal 3" xfId="4" xr:uid="{00000000-0005-0000-0000-00000B000000}"/>
    <cellStyle name="Porcentaje" xfId="3" builtinId="5"/>
    <cellStyle name="Porcentaje 2"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3</xdr:row>
      <xdr:rowOff>4984</xdr:rowOff>
    </xdr:to>
    <xdr:pic>
      <xdr:nvPicPr>
        <xdr:cNvPr id="3" name="Imagen 2">
          <a:extLst>
            <a:ext uri="{FF2B5EF4-FFF2-40B4-BE49-F238E27FC236}">
              <a16:creationId xmlns:a16="http://schemas.microsoft.com/office/drawing/2014/main" id="{ECDC1058-2548-4395-B906-5B988C68E7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319" t="28657" r="16299" b="33792"/>
        <a:stretch/>
      </xdr:blipFill>
      <xdr:spPr>
        <a:xfrm>
          <a:off x="0" y="0"/>
          <a:ext cx="3305175" cy="900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sady_pereira_inpositiva_com_py/Documents/Investor%20SA/Contabilidad/Conformaciones%20de%20Cuentas%20Contables/Conformacion%202019/Segundo%20Semestre%202019/Plantilla%20Exel%20EEFF%20cnv_SET_19.xlsx?17C11E68" TargetMode="External"/><Relationship Id="rId1" Type="http://schemas.openxmlformats.org/officeDocument/2006/relationships/externalLinkPath" Target="file:///\\17C11E68\Plantilla%20Exel%20EEFF%20cnv_SET_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INV/Desktop/Informe%201er%20Semestre%2006-2018/Res%20173%20INVESTOR%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ROCIO-INV/Desktop/Informe%201er%20Semestre%2006-2018/Res%20173%20INVESTOR%202013.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personal/sady_pereira_inpositiva_com_py/Documents/10.Investor%20SA/Contabilidad/CNV_EEFF_Informes/2020/EEFF%20a%20presentar/Plantillas%20utilizadas/Copia%20de%202.%20EEFF%20AL%2031.03.20%20FINAL_Plantilla.xlsx?DD05067B" TargetMode="External"/><Relationship Id="rId1" Type="http://schemas.openxmlformats.org/officeDocument/2006/relationships/externalLinkPath" Target="file:///\\DD05067B\Copia%20de%202.%20EEFF%20AL%2031.03.20%20FINAL_Plantill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ady_pereira_inpositiva_com_py/Documents/19.Fondo%20Ganadero/Contabilidad/Conformaciones%20de%20Cuentas%20Contables/2022/06.Junio/SSP-Conformaci&#243;n%20IN%20GANADERO%2030%2006%202022_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ady_pereira_inpositiva_com_py/Documents/19.Fondo%20Ganadero/Contabilidad/Conformaciones%20de%20Cuentas%20Contables/12.Diciembre/SSP-Conformaci&#243;n%20IN%20GANADERO%2031%201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Resol 950"/>
      <sheetName val="Estado de Resultados Resol 950"/>
      <sheetName val="Flujos de efectivo (950)"/>
      <sheetName val="Estado variacion PN (2)"/>
      <sheetName val="BalanceSistema_Set_19"/>
      <sheetName val="CR Sistema_Set_19"/>
      <sheetName val="activo pasivo"/>
      <sheetName val="2018 (2)"/>
      <sheetName val="anex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alance Gral. Resol. 6"/>
      <sheetName val="Estado de Resultado Resol. 6"/>
      <sheetName val="Flujo de Efectivo Resol. Res 6"/>
      <sheetName val="Estado de Variacion PN "/>
      <sheetName val="NOTA A LOS ESTADOS CONTA. 1-4"/>
      <sheetName val="NOTA 5 A-C CRITERIOS ESPECIF."/>
      <sheetName val="NOTA D - DISPONIBILIDADES"/>
      <sheetName val="NOTA E - INVERSIONES"/>
      <sheetName val="NOTA F - CREDITOS"/>
      <sheetName val="NOTA G BIENES DE USO"/>
      <sheetName val="NOTA H CARGOS DIFERIDOS"/>
      <sheetName val=" NOTA I INTANGIBLES"/>
      <sheetName val="NOTA J OTROS ACTIVOS CTES Y NO "/>
      <sheetName val="NOTA K PRESTAMOS"/>
      <sheetName val="NOTA L DOCUMENTOS Y CTAS A PAGA"/>
      <sheetName val="NOTAS M-Q ACREEDORES CTO PLAZO"/>
      <sheetName val="NOTA R SALDOS Y TRANSACCIONES "/>
      <sheetName val="NOTA S RESULTADOS CON PERSONAS"/>
      <sheetName val=" NOTA T PATRIMONIO"/>
      <sheetName val="NOTA V INGRESOS OPERATIVOS"/>
      <sheetName val="NOTA W OTROS GASTOS OPERATIVOS"/>
      <sheetName val="NOTA X OTROS INGRESOS Y EGRESOS"/>
      <sheetName val="NOTA Y RESULTADOS FINANCIEROS"/>
      <sheetName val="NOTA Z RESULT EXTRAORD"/>
      <sheetName val="NOTA 6 INFORMACION REFERENTE"/>
      <sheetName val="2018 (2)"/>
    </sheetNames>
    <sheetDataSet>
      <sheetData sheetId="0"/>
      <sheetData sheetId="1">
        <row r="22">
          <cell r="G22">
            <v>0</v>
          </cell>
        </row>
        <row r="23">
          <cell r="G2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S DE RESULTADOS"/>
      <sheetName val="Bancos ML Cta Cte"/>
      <sheetName val="Bancos ME Cta. Cte."/>
      <sheetName val="Cash Investor ML"/>
      <sheetName val="Cash Investor ME"/>
      <sheetName val="Inversiones Instrumentos Financ"/>
      <sheetName val="IVA Crédito Fiscal Saldo Favor"/>
      <sheetName val="Ant. A Proveedores Locales ML"/>
      <sheetName val="Ant. A Proveedores Locales ME"/>
      <sheetName val="Cant de Ganado"/>
      <sheetName val="Inventario FG.IN JUNIO"/>
      <sheetName val="Compras de Ganado Vacuno"/>
      <sheetName val="Alquileres Pagados ME"/>
      <sheetName val="Consumo Combustible"/>
      <sheetName val="Cuadro de Revalúo 2022"/>
      <sheetName val="Proveedores Locales ML"/>
      <sheetName val="Comisiones A Pagar APFI SA ME"/>
      <sheetName val="Proveedores Locales ME"/>
      <sheetName val="Plan Fondo de Inversión"/>
    </sheetNames>
    <sheetDataSet>
      <sheetData sheetId="0">
        <row r="17">
          <cell r="I17">
            <v>6550.6423024612823</v>
          </cell>
        </row>
        <row r="18">
          <cell r="I18">
            <v>4299.3599999999997</v>
          </cell>
        </row>
        <row r="20">
          <cell r="I20">
            <v>21936.559470012726</v>
          </cell>
        </row>
        <row r="21">
          <cell r="I21">
            <v>-2900.11</v>
          </cell>
        </row>
        <row r="47">
          <cell r="H47">
            <v>24078035098</v>
          </cell>
        </row>
        <row r="98">
          <cell r="H98">
            <v>41588820000</v>
          </cell>
        </row>
        <row r="103">
          <cell r="H103">
            <v>2019567744</v>
          </cell>
        </row>
      </sheetData>
      <sheetData sheetId="1">
        <row r="21">
          <cell r="C21">
            <v>91617872</v>
          </cell>
        </row>
        <row r="28">
          <cell r="C28">
            <v>178213500</v>
          </cell>
          <cell r="G28">
            <v>25797.199001194225</v>
          </cell>
        </row>
        <row r="51">
          <cell r="C51">
            <v>161751142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S DE RESULTADOS"/>
      <sheetName val="Bancos ML Cta Cte"/>
      <sheetName val="Bancos ME Cta. Cte."/>
      <sheetName val="Inversiones Instrumentos Financ"/>
      <sheetName val="Portafolio CDA CP"/>
      <sheetName val="Portafolio CDA CP (2)"/>
      <sheetName val="Portafolio Bonos CP"/>
      <sheetName val="Portafolio Bonos LP (2)"/>
      <sheetName val="Clientes Locales Gs."/>
      <sheetName val="IVA Crédito Fiscal Saldo Favor"/>
      <sheetName val="Cant de Ganado"/>
      <sheetName val="Compras de Ganado Vacuno"/>
      <sheetName val="Inventario FG.IN Dic.21"/>
      <sheetName val="Resumen Valoracion VF"/>
      <sheetName val="Alquileres Pagados ME"/>
      <sheetName val="Proveedores Locales ML"/>
      <sheetName val="Plan Fondo de Inversión"/>
    </sheetNames>
    <sheetDataSet>
      <sheetData sheetId="0">
        <row r="15">
          <cell r="E15">
            <v>1793373924</v>
          </cell>
        </row>
        <row r="17">
          <cell r="I17">
            <v>249081.6646072297</v>
          </cell>
        </row>
        <row r="18">
          <cell r="I18">
            <v>11931.8</v>
          </cell>
        </row>
      </sheetData>
      <sheetData sheetId="1">
        <row r="12">
          <cell r="C12">
            <v>155673318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I19">
            <v>375485408</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showGridLines="0" tabSelected="1" topLeftCell="A12" zoomScaleNormal="100" workbookViewId="0">
      <selection activeCell="F38" sqref="F38"/>
    </sheetView>
  </sheetViews>
  <sheetFormatPr baseColWidth="10" defaultColWidth="16.109375" defaultRowHeight="15.6" x14ac:dyDescent="0.35"/>
  <cols>
    <col min="1" max="11" width="16.109375" style="262"/>
    <col min="12" max="12" width="27.109375" style="262" hidden="1" customWidth="1"/>
    <col min="13" max="13" width="10.33203125" style="262" hidden="1" customWidth="1"/>
    <col min="14" max="14" width="19.88671875" style="262" hidden="1" customWidth="1"/>
    <col min="15" max="15" width="11.6640625" style="262" hidden="1" customWidth="1"/>
    <col min="16" max="16" width="5.44140625" style="262" hidden="1" customWidth="1"/>
    <col min="17" max="16384" width="16.109375" style="262"/>
  </cols>
  <sheetData>
    <row r="1" spans="1:16" x14ac:dyDescent="0.35">
      <c r="A1" s="261"/>
      <c r="B1" s="261"/>
      <c r="C1" s="261"/>
      <c r="D1" s="261"/>
      <c r="E1" s="261"/>
      <c r="F1" s="261"/>
      <c r="G1" s="261"/>
      <c r="H1" s="261"/>
      <c r="I1" s="261"/>
      <c r="J1" s="261"/>
      <c r="K1" s="261"/>
      <c r="N1" s="263" t="s">
        <v>60</v>
      </c>
      <c r="O1" s="264">
        <v>44562</v>
      </c>
    </row>
    <row r="2" spans="1:16" ht="26.4" x14ac:dyDescent="0.6">
      <c r="A2" s="265"/>
      <c r="B2" s="265"/>
      <c r="C2" s="265"/>
      <c r="D2" s="261"/>
      <c r="E2" s="261"/>
      <c r="F2" s="261"/>
      <c r="G2" s="261"/>
      <c r="H2" s="261"/>
      <c r="I2" s="266"/>
      <c r="J2" s="267"/>
      <c r="K2" s="266"/>
      <c r="L2" s="262" t="s">
        <v>63</v>
      </c>
      <c r="M2" s="268">
        <v>6837.9</v>
      </c>
      <c r="N2" s="263" t="s">
        <v>62</v>
      </c>
      <c r="O2" s="264">
        <v>44561</v>
      </c>
      <c r="P2" s="269">
        <v>2021</v>
      </c>
    </row>
    <row r="3" spans="1:16" ht="26.4" x14ac:dyDescent="0.6">
      <c r="A3" s="265"/>
      <c r="B3" s="265"/>
      <c r="C3" s="265"/>
      <c r="D3" s="261"/>
      <c r="E3" s="261"/>
      <c r="F3" s="261"/>
      <c r="G3" s="261"/>
      <c r="H3" s="261"/>
      <c r="I3" s="266"/>
      <c r="J3" s="270"/>
      <c r="K3" s="266"/>
      <c r="L3" s="262" t="s">
        <v>61</v>
      </c>
      <c r="M3" s="268">
        <v>6850.05</v>
      </c>
      <c r="N3" s="263" t="s">
        <v>64</v>
      </c>
      <c r="O3" s="264" t="s">
        <v>344</v>
      </c>
      <c r="P3" s="269">
        <v>2022</v>
      </c>
    </row>
    <row r="4" spans="1:16" ht="26.4" x14ac:dyDescent="0.6">
      <c r="A4" s="265"/>
      <c r="B4" s="265"/>
      <c r="C4" s="265"/>
      <c r="D4" s="261"/>
      <c r="E4" s="261"/>
      <c r="F4" s="261"/>
      <c r="G4" s="261"/>
      <c r="H4" s="261"/>
      <c r="I4" s="266"/>
      <c r="J4" s="270"/>
      <c r="K4" s="266"/>
      <c r="N4" s="263"/>
      <c r="O4" s="271" t="str">
        <f>+O3</f>
        <v>31/6/2022</v>
      </c>
    </row>
    <row r="5" spans="1:16" ht="26.4" x14ac:dyDescent="0.6">
      <c r="A5" s="265"/>
      <c r="B5" s="265"/>
      <c r="C5" s="265"/>
      <c r="D5" s="261"/>
      <c r="E5" s="261"/>
      <c r="F5" s="261"/>
      <c r="G5" s="261"/>
      <c r="H5" s="261"/>
      <c r="I5" s="266"/>
      <c r="J5" s="272"/>
      <c r="K5" s="266"/>
    </row>
    <row r="6" spans="1:16" ht="10.5" customHeight="1" x14ac:dyDescent="0.35">
      <c r="A6" s="265"/>
      <c r="B6" s="265"/>
      <c r="C6" s="265"/>
      <c r="D6" s="261"/>
      <c r="E6" s="261"/>
      <c r="F6" s="261"/>
      <c r="G6" s="261"/>
      <c r="H6" s="261"/>
      <c r="I6" s="261"/>
      <c r="J6" s="261"/>
      <c r="K6" s="261"/>
    </row>
    <row r="7" spans="1:16" ht="29.25" customHeight="1" x14ac:dyDescent="0.35">
      <c r="A7" s="664" t="s">
        <v>167</v>
      </c>
      <c r="B7" s="664"/>
      <c r="C7" s="664"/>
      <c r="D7" s="664"/>
      <c r="E7" s="664"/>
      <c r="F7" s="664"/>
      <c r="G7" s="664"/>
      <c r="H7" s="664"/>
      <c r="I7" s="664"/>
      <c r="J7" s="664"/>
      <c r="K7" s="664"/>
    </row>
    <row r="8" spans="1:16" ht="22.5" customHeight="1" x14ac:dyDescent="0.35">
      <c r="A8" s="261"/>
      <c r="B8" s="261"/>
      <c r="C8" s="664" t="s">
        <v>65</v>
      </c>
      <c r="D8" s="664"/>
      <c r="E8" s="664"/>
      <c r="F8" s="664"/>
      <c r="G8" s="664"/>
      <c r="H8" s="664"/>
      <c r="I8" s="664"/>
      <c r="J8" s="261"/>
      <c r="K8" s="261"/>
    </row>
    <row r="9" spans="1:16" ht="26.4" x14ac:dyDescent="0.35">
      <c r="A9" s="261"/>
      <c r="B9" s="261"/>
      <c r="C9" s="665" t="s">
        <v>318</v>
      </c>
      <c r="D9" s="665"/>
      <c r="E9" s="665"/>
      <c r="F9" s="665"/>
      <c r="G9" s="665"/>
      <c r="H9" s="665"/>
      <c r="I9" s="665"/>
      <c r="J9" s="273"/>
      <c r="K9" s="261"/>
    </row>
    <row r="10" spans="1:16" ht="26.4" x14ac:dyDescent="0.35">
      <c r="A10" s="261"/>
      <c r="B10" s="261"/>
      <c r="C10" s="666" t="str">
        <f>+O3</f>
        <v>31/6/2022</v>
      </c>
      <c r="D10" s="666"/>
      <c r="E10" s="666"/>
      <c r="F10" s="666"/>
      <c r="G10" s="666"/>
      <c r="H10" s="666"/>
      <c r="I10" s="666"/>
      <c r="J10" s="273"/>
      <c r="K10" s="261"/>
    </row>
    <row r="11" spans="1:16" ht="5.25" customHeight="1" x14ac:dyDescent="0.35">
      <c r="A11" s="261"/>
      <c r="B11" s="261"/>
      <c r="C11" s="274"/>
      <c r="D11" s="274"/>
      <c r="E11" s="274"/>
      <c r="F11" s="274"/>
      <c r="G11" s="274"/>
      <c r="H11" s="274"/>
      <c r="I11" s="273"/>
      <c r="J11" s="273"/>
      <c r="K11" s="261"/>
    </row>
    <row r="12" spans="1:16" x14ac:dyDescent="0.35">
      <c r="A12" s="275"/>
      <c r="B12" s="275"/>
      <c r="C12" s="276"/>
      <c r="D12" s="276"/>
      <c r="E12" s="276"/>
      <c r="F12" s="276"/>
      <c r="G12" s="276"/>
      <c r="H12" s="276"/>
      <c r="I12" s="277"/>
      <c r="J12" s="277"/>
      <c r="K12" s="275"/>
    </row>
    <row r="13" spans="1:16" ht="26.4" x14ac:dyDescent="0.6">
      <c r="C13" s="278"/>
      <c r="D13" s="278"/>
      <c r="E13" s="279" t="s">
        <v>66</v>
      </c>
    </row>
    <row r="14" spans="1:16" x14ac:dyDescent="0.35">
      <c r="B14" s="280"/>
      <c r="C14" s="281" t="s">
        <v>70</v>
      </c>
      <c r="H14" s="282">
        <v>1</v>
      </c>
      <c r="I14" s="280"/>
    </row>
    <row r="15" spans="1:16" x14ac:dyDescent="0.35">
      <c r="B15" s="280"/>
      <c r="C15" s="262" t="s">
        <v>69</v>
      </c>
      <c r="H15" s="282">
        <v>2</v>
      </c>
      <c r="I15" s="280"/>
    </row>
    <row r="16" spans="1:16" x14ac:dyDescent="0.35">
      <c r="B16" s="280"/>
      <c r="C16" s="262" t="s">
        <v>68</v>
      </c>
      <c r="H16" s="282">
        <v>3</v>
      </c>
      <c r="I16" s="280"/>
    </row>
    <row r="17" spans="2:12" x14ac:dyDescent="0.35">
      <c r="B17" s="280"/>
      <c r="C17" s="262" t="s">
        <v>67</v>
      </c>
      <c r="H17" s="282">
        <v>4</v>
      </c>
      <c r="I17" s="280"/>
    </row>
    <row r="18" spans="2:12" x14ac:dyDescent="0.35">
      <c r="B18" s="280"/>
      <c r="C18" s="262" t="s">
        <v>71</v>
      </c>
      <c r="H18" s="282">
        <v>5</v>
      </c>
      <c r="I18" s="280"/>
    </row>
    <row r="19" spans="2:12" x14ac:dyDescent="0.35">
      <c r="B19" s="280"/>
      <c r="C19" s="262" t="s">
        <v>72</v>
      </c>
      <c r="H19" s="282">
        <v>6</v>
      </c>
      <c r="I19" s="280"/>
    </row>
    <row r="20" spans="2:12" x14ac:dyDescent="0.35">
      <c r="B20" s="280"/>
      <c r="C20" s="262" t="s">
        <v>73</v>
      </c>
      <c r="H20" s="282">
        <v>7</v>
      </c>
      <c r="I20" s="280"/>
    </row>
    <row r="21" spans="2:12" x14ac:dyDescent="0.35">
      <c r="B21" s="280"/>
      <c r="C21" s="262" t="s">
        <v>74</v>
      </c>
      <c r="H21" s="282">
        <v>8</v>
      </c>
      <c r="I21" s="280"/>
    </row>
    <row r="22" spans="2:12" x14ac:dyDescent="0.35">
      <c r="C22" s="262" t="s">
        <v>80</v>
      </c>
      <c r="H22" s="282">
        <v>9</v>
      </c>
      <c r="I22" s="280"/>
    </row>
    <row r="23" spans="2:12" x14ac:dyDescent="0.35">
      <c r="C23" s="281" t="s">
        <v>76</v>
      </c>
      <c r="H23" s="282">
        <v>10</v>
      </c>
      <c r="I23" s="280"/>
    </row>
    <row r="24" spans="2:12" x14ac:dyDescent="0.35">
      <c r="H24" s="280"/>
      <c r="I24" s="280"/>
    </row>
    <row r="25" spans="2:12" x14ac:dyDescent="0.35">
      <c r="H25" s="280"/>
      <c r="I25" s="280"/>
    </row>
    <row r="26" spans="2:12" x14ac:dyDescent="0.35">
      <c r="H26" s="280"/>
      <c r="I26" s="280"/>
    </row>
    <row r="31" spans="2:12" ht="17.399999999999999" x14ac:dyDescent="0.35">
      <c r="L31" s="283"/>
    </row>
    <row r="32" spans="2:12" ht="17.399999999999999" x14ac:dyDescent="0.35">
      <c r="L32" s="283"/>
    </row>
  </sheetData>
  <mergeCells count="4">
    <mergeCell ref="C8:I8"/>
    <mergeCell ref="C9:I9"/>
    <mergeCell ref="C10:I10"/>
    <mergeCell ref="A7:K7"/>
  </mergeCells>
  <hyperlinks>
    <hyperlink ref="H14" location="'1.BG USD'!A1" display="'1.BG USD'!A1" xr:uid="{BD539D5F-3E5E-4C5A-BDE0-B768A173DBBA}"/>
    <hyperlink ref="H15" location="'2.EERR USD'!A1" display="'2.EERR USD'!A1" xr:uid="{F341BC8B-5332-4276-ACD5-0C1EAD796584}"/>
    <hyperlink ref="H16" location="'3.VARIAC. PA USD'!A1" display="'3.VARIAC. PA USD'!A1" xr:uid="{F228EC3F-3E80-480A-B6C8-065B5C9F26C8}"/>
    <hyperlink ref="H17" location="'4.FLUJO EFECTIVO USD'!A1" display="'4.FLUJO EFECTIVO USD'!A1" xr:uid="{DF3B87C5-F219-4FB1-8943-461C789640DC}"/>
    <hyperlink ref="H18" location="'5.BG G'!A1" display="'5.BG G'!A1" xr:uid="{49A52BF0-34A9-40DC-A26F-3C6D34949F61}"/>
    <hyperlink ref="H19" location="'6.EERR G'!A1" display="'6.EERR G'!A1" xr:uid="{1FE2AF7E-76FE-48AA-A366-B4C6BAEEABE7}"/>
    <hyperlink ref="H20" location="'7.VARIAC. PN G'!A1" display="'7.VARIAC. PN G'!A1" xr:uid="{F8906F2F-B430-4748-8E2D-B63408EF0A0E}"/>
    <hyperlink ref="H21" location="'8.FLUJO EFECTIVO G'!A1" display="'8.FLUJO EFECTIVO G'!A1" xr:uid="{0E75E853-A136-4F97-A9A3-7F486EDAE49A}"/>
    <hyperlink ref="H22" location="'10.Notas a EEFF'!A1" display="'10.Notas a EEFF'!A1" xr:uid="{9FAD05B5-34B1-4CF1-8FBE-7BE1A80A23ED}"/>
    <hyperlink ref="H23" location="'11.Cuadro de Inversiones'!A1" display="'11.Cuadro de Inversiones'!A1" xr:uid="{3F249E92-025B-4EBD-BB5B-C3E8A60B5875}"/>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2A89-0BF7-4C1A-B676-60AEAFB04334}">
  <sheetPr>
    <tabColor rgb="FFA32794"/>
  </sheetPr>
  <dimension ref="A1:DG101"/>
  <sheetViews>
    <sheetView zoomScale="130" zoomScaleNormal="130" workbookViewId="0">
      <pane xSplit="1" ySplit="7" topLeftCell="B59" activePane="bottomRight" state="frozen"/>
      <selection pane="topRight" activeCell="B1" sqref="B1"/>
      <selection pane="bottomLeft" activeCell="A8" sqref="A8"/>
      <selection pane="bottomRight" activeCell="D92" sqref="D92"/>
    </sheetView>
  </sheetViews>
  <sheetFormatPr baseColWidth="10" defaultColWidth="11.44140625" defaultRowHeight="13.2" x14ac:dyDescent="0.25"/>
  <cols>
    <col min="1" max="1" width="45.6640625" style="27" customWidth="1"/>
    <col min="2" max="2" width="28.33203125" style="27" bestFit="1" customWidth="1"/>
    <col min="3" max="3" width="18.44140625" style="27" bestFit="1" customWidth="1"/>
    <col min="4" max="4" width="19.33203125" style="27" bestFit="1" customWidth="1"/>
    <col min="5" max="6" width="16" style="27" customWidth="1"/>
    <col min="7" max="7" width="18.44140625" style="27" bestFit="1" customWidth="1"/>
    <col min="8" max="8" width="14.44140625" style="27" bestFit="1" customWidth="1"/>
    <col min="9" max="11" width="15.33203125" style="27" customWidth="1"/>
    <col min="12" max="13" width="18.44140625" style="27" customWidth="1"/>
    <col min="14" max="14" width="20.109375" style="27" bestFit="1" customWidth="1"/>
    <col min="15" max="15" width="17.44140625" style="27" customWidth="1"/>
    <col min="16" max="16384" width="11.44140625" style="27"/>
  </cols>
  <sheetData>
    <row r="1" spans="1:15" ht="17.399999999999999" x14ac:dyDescent="0.3">
      <c r="A1" s="145" t="s">
        <v>316</v>
      </c>
      <c r="B1" s="44"/>
      <c r="C1" s="44"/>
      <c r="D1" s="44"/>
      <c r="E1" s="44"/>
      <c r="F1" s="44"/>
      <c r="G1" s="44"/>
      <c r="H1" s="44"/>
      <c r="I1" s="44"/>
      <c r="J1" s="44"/>
      <c r="K1" s="44"/>
      <c r="L1" s="44"/>
      <c r="M1" s="44"/>
      <c r="N1" s="44"/>
      <c r="O1" s="44"/>
    </row>
    <row r="2" spans="1:15" ht="17.399999999999999" x14ac:dyDescent="0.3">
      <c r="A2" s="145"/>
      <c r="B2" s="44"/>
      <c r="C2" s="44"/>
      <c r="D2" s="44"/>
      <c r="E2" s="44"/>
      <c r="F2" s="44" t="s">
        <v>315</v>
      </c>
      <c r="G2" s="44" t="s">
        <v>314</v>
      </c>
      <c r="H2" s="44"/>
      <c r="I2" s="44"/>
      <c r="J2" s="44"/>
      <c r="K2" s="44"/>
      <c r="L2" s="44"/>
      <c r="M2" s="44"/>
      <c r="N2" s="44"/>
      <c r="O2" s="44"/>
    </row>
    <row r="3" spans="1:15" ht="18" thickBot="1" x14ac:dyDescent="0.35">
      <c r="A3" s="145"/>
      <c r="B3" s="44"/>
      <c r="C3" s="44"/>
      <c r="D3" s="44"/>
      <c r="E3" s="44"/>
      <c r="F3" s="44" t="s">
        <v>313</v>
      </c>
      <c r="G3" s="44" t="s">
        <v>312</v>
      </c>
      <c r="H3" s="44"/>
      <c r="I3" s="44"/>
      <c r="J3" s="44"/>
      <c r="K3" s="44"/>
      <c r="L3" s="44"/>
      <c r="M3" s="44"/>
      <c r="N3" s="44"/>
      <c r="O3" s="44"/>
    </row>
    <row r="4" spans="1:15" x14ac:dyDescent="0.25">
      <c r="A4" s="142"/>
      <c r="B4" s="132"/>
      <c r="C4" s="144"/>
      <c r="D4" s="143"/>
      <c r="E4" s="132"/>
      <c r="F4" s="132"/>
      <c r="G4" s="142"/>
      <c r="H4" s="141"/>
      <c r="I4" s="141"/>
      <c r="J4" s="141"/>
      <c r="K4" s="141"/>
      <c r="L4" s="141"/>
      <c r="M4" s="128" t="s">
        <v>311</v>
      </c>
      <c r="N4" s="128" t="s">
        <v>310</v>
      </c>
      <c r="O4" s="140"/>
    </row>
    <row r="5" spans="1:15" ht="13.8" thickBot="1" x14ac:dyDescent="0.3">
      <c r="A5" s="139" t="s">
        <v>17</v>
      </c>
      <c r="B5" s="130" t="s">
        <v>308</v>
      </c>
      <c r="C5" s="138" t="s">
        <v>309</v>
      </c>
      <c r="D5" s="137"/>
      <c r="E5" s="130" t="s">
        <v>308</v>
      </c>
      <c r="F5" s="130" t="s">
        <v>307</v>
      </c>
      <c r="G5" s="136" t="s">
        <v>306</v>
      </c>
      <c r="H5" s="135"/>
      <c r="I5" s="135"/>
      <c r="J5" s="135"/>
      <c r="K5" s="135"/>
      <c r="L5" s="135"/>
      <c r="M5" s="130" t="s">
        <v>305</v>
      </c>
      <c r="N5" s="134" t="s">
        <v>304</v>
      </c>
      <c r="O5" s="124" t="s">
        <v>109</v>
      </c>
    </row>
    <row r="6" spans="1:15" x14ac:dyDescent="0.25">
      <c r="A6" s="133"/>
      <c r="B6" s="130" t="s">
        <v>19</v>
      </c>
      <c r="C6" s="132"/>
      <c r="D6" s="131"/>
      <c r="E6" s="130" t="s">
        <v>19</v>
      </c>
      <c r="F6" s="128" t="s">
        <v>296</v>
      </c>
      <c r="G6" s="129" t="s">
        <v>303</v>
      </c>
      <c r="H6" s="128" t="s">
        <v>302</v>
      </c>
      <c r="I6" s="125" t="s">
        <v>301</v>
      </c>
      <c r="J6" s="125" t="s">
        <v>300</v>
      </c>
      <c r="K6" s="127" t="s">
        <v>299</v>
      </c>
      <c r="L6" s="126" t="s">
        <v>298</v>
      </c>
      <c r="M6" s="125" t="s">
        <v>297</v>
      </c>
      <c r="N6" s="125" t="s">
        <v>297</v>
      </c>
      <c r="O6" s="124"/>
    </row>
    <row r="7" spans="1:15" ht="14.4" thickBot="1" x14ac:dyDescent="0.3">
      <c r="A7" s="123"/>
      <c r="B7" s="121" t="s">
        <v>354</v>
      </c>
      <c r="C7" s="119" t="s">
        <v>296</v>
      </c>
      <c r="D7" s="122" t="s">
        <v>179</v>
      </c>
      <c r="E7" s="121" t="s">
        <v>295</v>
      </c>
      <c r="F7" s="119" t="s">
        <v>294</v>
      </c>
      <c r="G7" s="120" t="s">
        <v>293</v>
      </c>
      <c r="H7" s="119" t="s">
        <v>292</v>
      </c>
      <c r="I7" s="116" t="s">
        <v>291</v>
      </c>
      <c r="J7" s="118" t="s">
        <v>290</v>
      </c>
      <c r="K7" s="118" t="s">
        <v>289</v>
      </c>
      <c r="L7" s="117" t="s">
        <v>288</v>
      </c>
      <c r="M7" s="116" t="s">
        <v>287</v>
      </c>
      <c r="N7" s="116" t="s">
        <v>287</v>
      </c>
      <c r="O7" s="115"/>
    </row>
    <row r="8" spans="1:15" x14ac:dyDescent="0.25">
      <c r="A8" s="114" t="s">
        <v>286</v>
      </c>
      <c r="B8" s="112"/>
      <c r="C8" s="112"/>
      <c r="D8" s="113"/>
      <c r="E8" s="112"/>
      <c r="F8" s="112"/>
      <c r="G8" s="112"/>
      <c r="H8" s="112"/>
      <c r="I8" s="112"/>
      <c r="J8" s="112"/>
      <c r="K8" s="112"/>
      <c r="L8" s="112"/>
      <c r="M8" s="112"/>
      <c r="N8" s="112"/>
      <c r="O8" s="111"/>
    </row>
    <row r="9" spans="1:15" x14ac:dyDescent="0.25">
      <c r="A9" s="110" t="s">
        <v>39</v>
      </c>
      <c r="B9" s="49">
        <f>+'5.BG G'!C10</f>
        <v>204360556.45499998</v>
      </c>
      <c r="C9" s="49"/>
      <c r="D9" s="108"/>
      <c r="E9" s="49">
        <v>1793373924</v>
      </c>
      <c r="F9" s="49">
        <f t="shared" ref="F9:F21" si="0">B9-E9+C9-D9</f>
        <v>-1589013367.5450001</v>
      </c>
      <c r="G9" s="49"/>
      <c r="H9" s="49"/>
      <c r="I9" s="49"/>
      <c r="J9" s="49"/>
      <c r="K9" s="49"/>
      <c r="L9" s="49"/>
      <c r="M9" s="49"/>
      <c r="N9" s="49"/>
      <c r="O9" s="105">
        <f>F9</f>
        <v>-1589013367.5450001</v>
      </c>
    </row>
    <row r="10" spans="1:15" ht="13.8" x14ac:dyDescent="0.3">
      <c r="A10" s="110" t="s">
        <v>285</v>
      </c>
      <c r="B10" s="109">
        <f>+'5.BG G'!C20</f>
        <v>1374566897.8410001</v>
      </c>
      <c r="C10" s="49"/>
      <c r="D10" s="108"/>
      <c r="E10" s="49">
        <v>717999829</v>
      </c>
      <c r="F10" s="49">
        <f t="shared" si="0"/>
        <v>656567068.84100008</v>
      </c>
      <c r="G10" s="49"/>
      <c r="H10" s="49"/>
      <c r="I10" s="49"/>
      <c r="J10" s="49"/>
      <c r="K10" s="49"/>
      <c r="L10" s="49">
        <f>-F10</f>
        <v>-656567068.84100008</v>
      </c>
      <c r="M10" s="49"/>
      <c r="N10" s="49"/>
      <c r="O10" s="105"/>
    </row>
    <row r="11" spans="1:15" x14ac:dyDescent="0.25">
      <c r="A11" s="107" t="s">
        <v>284</v>
      </c>
      <c r="B11" s="71">
        <v>0</v>
      </c>
      <c r="C11" s="71"/>
      <c r="D11" s="106"/>
      <c r="E11" s="71">
        <v>0</v>
      </c>
      <c r="F11" s="71">
        <f t="shared" si="0"/>
        <v>0</v>
      </c>
      <c r="G11" s="49"/>
      <c r="H11" s="49"/>
      <c r="I11" s="49"/>
      <c r="J11" s="49">
        <f>-F11</f>
        <v>0</v>
      </c>
      <c r="K11" s="49"/>
      <c r="L11" s="49"/>
      <c r="M11" s="49"/>
      <c r="N11" s="49"/>
      <c r="O11" s="105"/>
    </row>
    <row r="12" spans="1:15" x14ac:dyDescent="0.25">
      <c r="A12" s="70" t="s">
        <v>283</v>
      </c>
      <c r="B12" s="54">
        <v>0</v>
      </c>
      <c r="C12" s="54"/>
      <c r="D12" s="104"/>
      <c r="E12" s="54">
        <v>0</v>
      </c>
      <c r="F12" s="49">
        <f t="shared" si="0"/>
        <v>0</v>
      </c>
      <c r="G12" s="54">
        <f>-F12</f>
        <v>0</v>
      </c>
      <c r="H12" s="54"/>
      <c r="I12" s="54"/>
      <c r="J12" s="54"/>
      <c r="K12" s="54"/>
      <c r="L12" s="54"/>
      <c r="M12" s="54"/>
      <c r="N12" s="54"/>
      <c r="O12" s="52"/>
    </row>
    <row r="13" spans="1:15" x14ac:dyDescent="0.25">
      <c r="A13" s="70" t="s">
        <v>282</v>
      </c>
      <c r="B13" s="54">
        <f>+'5.BG G'!C21+'5.BG G'!C25</f>
        <v>2384752429.9109998</v>
      </c>
      <c r="C13" s="54"/>
      <c r="D13" s="54">
        <f>-D47</f>
        <v>-240810794</v>
      </c>
      <c r="E13" s="54">
        <v>1303530119</v>
      </c>
      <c r="F13" s="49">
        <f t="shared" si="0"/>
        <v>1322033104.9109998</v>
      </c>
      <c r="H13" s="54"/>
      <c r="I13" s="54"/>
      <c r="J13" s="54"/>
      <c r="K13" s="54"/>
      <c r="L13" s="54">
        <f>-F13</f>
        <v>-1322033104.9109998</v>
      </c>
      <c r="M13" s="54"/>
      <c r="N13" s="54"/>
      <c r="O13" s="52"/>
    </row>
    <row r="14" spans="1:15" x14ac:dyDescent="0.25">
      <c r="A14" s="103" t="s">
        <v>281</v>
      </c>
      <c r="B14" s="101">
        <v>0</v>
      </c>
      <c r="C14" s="101"/>
      <c r="D14" s="101"/>
      <c r="E14" s="101">
        <v>0</v>
      </c>
      <c r="F14" s="49">
        <f t="shared" si="0"/>
        <v>0</v>
      </c>
      <c r="G14" s="58"/>
      <c r="H14" s="58"/>
      <c r="I14" s="58"/>
      <c r="J14" s="58"/>
      <c r="K14" s="58"/>
      <c r="L14" s="58"/>
      <c r="M14" s="58"/>
      <c r="N14" s="58"/>
      <c r="O14" s="57"/>
    </row>
    <row r="15" spans="1:15" x14ac:dyDescent="0.25">
      <c r="A15" s="70" t="s">
        <v>280</v>
      </c>
      <c r="B15" s="54">
        <f>+'5.BG G'!C14+'5.BG G'!C34</f>
        <v>16052066185.737</v>
      </c>
      <c r="C15" s="54"/>
      <c r="D15" s="54"/>
      <c r="E15" s="54">
        <v>5787780532</v>
      </c>
      <c r="F15" s="49">
        <f t="shared" si="0"/>
        <v>10264285653.737</v>
      </c>
      <c r="G15" s="54"/>
      <c r="H15" s="54"/>
      <c r="I15" s="54"/>
      <c r="J15" s="54"/>
      <c r="K15" s="54"/>
      <c r="L15" s="54"/>
      <c r="M15" s="54">
        <f>-F15</f>
        <v>-10264285653.737</v>
      </c>
      <c r="N15" s="54"/>
      <c r="O15" s="52"/>
    </row>
    <row r="16" spans="1:15" x14ac:dyDescent="0.25">
      <c r="A16" s="70" t="s">
        <v>279</v>
      </c>
      <c r="B16" s="54">
        <f>+'5.BG G'!C16</f>
        <v>24078035098</v>
      </c>
      <c r="C16" s="54">
        <f>+D44+D40</f>
        <v>-4049723787.4350004</v>
      </c>
      <c r="E16" s="54">
        <v>11237815503</v>
      </c>
      <c r="F16" s="49">
        <f t="shared" si="0"/>
        <v>8790495807.5649986</v>
      </c>
      <c r="G16" s="54"/>
      <c r="H16" s="54"/>
      <c r="I16" s="54"/>
      <c r="J16" s="54"/>
      <c r="K16" s="54"/>
      <c r="L16" s="54"/>
      <c r="M16" s="54">
        <f>-F16</f>
        <v>-8790495807.5649986</v>
      </c>
      <c r="N16" s="54"/>
      <c r="O16" s="52"/>
    </row>
    <row r="17" spans="1:111" x14ac:dyDescent="0.25">
      <c r="A17" s="103" t="s">
        <v>278</v>
      </c>
      <c r="B17" s="101">
        <f>+'5.BG G'!C39</f>
        <v>180751339.125</v>
      </c>
      <c r="C17" s="102"/>
      <c r="D17" s="101"/>
      <c r="E17" s="101">
        <v>0</v>
      </c>
      <c r="F17" s="49">
        <f t="shared" si="0"/>
        <v>180751339.125</v>
      </c>
      <c r="G17" s="54"/>
      <c r="H17" s="54"/>
      <c r="I17" s="54"/>
      <c r="J17" s="54"/>
      <c r="K17" s="54"/>
      <c r="L17" s="54"/>
      <c r="M17" s="54">
        <f>-F17</f>
        <v>-180751339.125</v>
      </c>
      <c r="N17" s="54"/>
      <c r="O17" s="52"/>
    </row>
    <row r="18" spans="1:111" x14ac:dyDescent="0.25">
      <c r="A18" s="87" t="s">
        <v>277</v>
      </c>
      <c r="B18" s="86">
        <v>0</v>
      </c>
      <c r="C18" s="86"/>
      <c r="D18" s="100"/>
      <c r="E18" s="86">
        <v>0</v>
      </c>
      <c r="F18" s="83">
        <f t="shared" si="0"/>
        <v>0</v>
      </c>
      <c r="G18" s="58"/>
      <c r="H18" s="58"/>
      <c r="I18" s="58"/>
      <c r="J18" s="58"/>
      <c r="K18" s="58"/>
      <c r="L18" s="58"/>
      <c r="M18" s="58"/>
      <c r="N18" s="58"/>
      <c r="O18" s="57"/>
    </row>
    <row r="19" spans="1:111" x14ac:dyDescent="0.25">
      <c r="A19" s="103" t="s">
        <v>276</v>
      </c>
      <c r="B19" s="101">
        <v>0</v>
      </c>
      <c r="C19" s="102"/>
      <c r="D19" s="101"/>
      <c r="E19" s="101">
        <v>0</v>
      </c>
      <c r="F19" s="49">
        <f t="shared" si="0"/>
        <v>0</v>
      </c>
      <c r="G19" s="54"/>
      <c r="H19" s="54"/>
      <c r="I19" s="54"/>
      <c r="J19" s="54"/>
      <c r="K19" s="54"/>
      <c r="L19" s="54"/>
      <c r="M19" s="54">
        <f>-F19</f>
        <v>0</v>
      </c>
      <c r="N19" s="54"/>
      <c r="O19" s="52"/>
    </row>
    <row r="20" spans="1:111" x14ac:dyDescent="0.25">
      <c r="A20" s="87" t="s">
        <v>275</v>
      </c>
      <c r="B20" s="86">
        <v>0</v>
      </c>
      <c r="C20" s="86"/>
      <c r="D20" s="100"/>
      <c r="E20" s="86">
        <v>0</v>
      </c>
      <c r="F20" s="83">
        <f t="shared" si="0"/>
        <v>0</v>
      </c>
      <c r="G20" s="58"/>
      <c r="H20" s="58"/>
      <c r="I20" s="58"/>
      <c r="J20" s="58"/>
      <c r="K20" s="58"/>
      <c r="L20" s="58"/>
      <c r="M20" s="58"/>
      <c r="N20" s="58"/>
      <c r="O20" s="57"/>
    </row>
    <row r="21" spans="1:111" s="82" customFormat="1" x14ac:dyDescent="0.25">
      <c r="A21" s="99" t="s">
        <v>274</v>
      </c>
      <c r="B21" s="98">
        <v>0</v>
      </c>
      <c r="C21" s="61">
        <v>0</v>
      </c>
      <c r="D21" s="98">
        <v>0</v>
      </c>
      <c r="E21" s="98">
        <v>0</v>
      </c>
      <c r="F21" s="83">
        <f t="shared" si="0"/>
        <v>0</v>
      </c>
      <c r="G21" s="97"/>
      <c r="H21" s="97"/>
      <c r="I21" s="97"/>
      <c r="J21" s="97"/>
      <c r="K21" s="97"/>
      <c r="L21" s="97"/>
      <c r="M21" s="97">
        <f>-F21</f>
        <v>0</v>
      </c>
      <c r="N21" s="97"/>
      <c r="O21" s="96"/>
      <c r="P21" s="77">
        <v>8975342</v>
      </c>
      <c r="Q21" s="77">
        <v>105780824</v>
      </c>
      <c r="R21" s="77">
        <f>+Q21+P21</f>
        <v>114756166</v>
      </c>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row>
    <row r="22" spans="1:111" ht="13.8" thickBot="1" x14ac:dyDescent="0.3">
      <c r="A22" s="95" t="s">
        <v>273</v>
      </c>
      <c r="B22" s="80">
        <f>SUM(B9:B21)</f>
        <v>44274532507.069</v>
      </c>
      <c r="C22" s="54"/>
      <c r="D22" s="54"/>
      <c r="E22" s="80">
        <v>20840499907</v>
      </c>
      <c r="F22" s="49">
        <v>0</v>
      </c>
      <c r="G22" s="54"/>
      <c r="H22" s="54"/>
      <c r="I22" s="54"/>
      <c r="J22" s="54"/>
      <c r="K22" s="54"/>
      <c r="L22" s="54"/>
      <c r="M22" s="54"/>
      <c r="N22" s="54"/>
      <c r="O22" s="52"/>
      <c r="P22" s="77">
        <v>1599667</v>
      </c>
      <c r="Q22" s="77">
        <v>9474951</v>
      </c>
      <c r="R22" s="77">
        <f>+Q22+P22</f>
        <v>11074618</v>
      </c>
    </row>
    <row r="23" spans="1:111" ht="13.8" thickTop="1" x14ac:dyDescent="0.25">
      <c r="A23" s="79" t="s">
        <v>272</v>
      </c>
      <c r="B23" s="92">
        <f>+B22-'5.BG G'!C41</f>
        <v>0</v>
      </c>
      <c r="C23" s="94"/>
      <c r="D23" s="94"/>
      <c r="E23" s="92">
        <v>0</v>
      </c>
      <c r="F23" s="93">
        <f t="shared" ref="F23:F38" si="1">B23-E23+C23-D23</f>
        <v>0</v>
      </c>
      <c r="G23" s="54"/>
      <c r="H23" s="54"/>
      <c r="I23" s="54"/>
      <c r="J23" s="54"/>
      <c r="K23" s="54"/>
      <c r="L23" s="54"/>
      <c r="M23" s="54"/>
      <c r="N23" s="54"/>
      <c r="O23" s="52"/>
      <c r="P23" s="77">
        <v>4727013</v>
      </c>
      <c r="Q23" s="77">
        <v>30725588</v>
      </c>
      <c r="R23" s="77">
        <f>+Q23+P23</f>
        <v>35452601</v>
      </c>
    </row>
    <row r="24" spans="1:111" x14ac:dyDescent="0.25">
      <c r="A24" s="70" t="s">
        <v>271</v>
      </c>
      <c r="B24" s="76">
        <v>0</v>
      </c>
      <c r="C24" s="54"/>
      <c r="D24" s="54"/>
      <c r="E24" s="76">
        <v>0</v>
      </c>
      <c r="F24" s="49">
        <f t="shared" si="1"/>
        <v>0</v>
      </c>
      <c r="G24" s="54"/>
      <c r="H24" s="54"/>
      <c r="I24" s="54"/>
      <c r="J24" s="54"/>
      <c r="K24" s="54"/>
      <c r="L24" s="54"/>
      <c r="M24" s="54"/>
      <c r="N24" s="54">
        <f>-F24</f>
        <v>0</v>
      </c>
      <c r="O24" s="52"/>
      <c r="P24" s="77">
        <v>5522903</v>
      </c>
      <c r="Q24" s="77">
        <v>52954902</v>
      </c>
      <c r="R24" s="77">
        <f>+Q24+P24</f>
        <v>58477805</v>
      </c>
    </row>
    <row r="25" spans="1:111" x14ac:dyDescent="0.25">
      <c r="A25" s="70" t="s">
        <v>270</v>
      </c>
      <c r="B25" s="54">
        <v>0</v>
      </c>
      <c r="C25" s="54">
        <f>+D31</f>
        <v>0</v>
      </c>
      <c r="D25" s="54"/>
      <c r="E25" s="54">
        <v>0</v>
      </c>
      <c r="F25" s="49">
        <f t="shared" si="1"/>
        <v>0</v>
      </c>
      <c r="G25" s="54">
        <f>-F25</f>
        <v>0</v>
      </c>
      <c r="H25" s="54"/>
      <c r="J25" s="54"/>
      <c r="K25" s="54"/>
      <c r="L25" s="54"/>
      <c r="M25" s="54"/>
      <c r="N25" s="54"/>
      <c r="O25" s="52"/>
      <c r="P25" s="77">
        <v>1172931</v>
      </c>
      <c r="Q25" s="77">
        <v>51608984</v>
      </c>
      <c r="R25" s="77">
        <f>+Q25+P25</f>
        <v>52781915</v>
      </c>
    </row>
    <row r="26" spans="1:111" x14ac:dyDescent="0.25">
      <c r="A26" s="70" t="s">
        <v>269</v>
      </c>
      <c r="B26" s="54">
        <f>-'5.BG G'!C47</f>
        <v>-666144763.42050004</v>
      </c>
      <c r="C26" s="54">
        <f>+D46</f>
        <v>1523737089.855</v>
      </c>
      <c r="D26" s="54"/>
      <c r="E26" s="54">
        <v>-469694408</v>
      </c>
      <c r="F26" s="49">
        <f t="shared" si="1"/>
        <v>1327286734.4345</v>
      </c>
      <c r="G26" s="54"/>
      <c r="H26" s="54"/>
      <c r="I26" s="54">
        <f>-F26</f>
        <v>-1327286734.4345</v>
      </c>
      <c r="J26" s="54"/>
      <c r="K26" s="54"/>
      <c r="L26" s="54">
        <v>0</v>
      </c>
      <c r="M26" s="54"/>
      <c r="N26" s="54"/>
      <c r="O26" s="52"/>
      <c r="P26" s="92">
        <f>SUM(P21:P25)</f>
        <v>21997856</v>
      </c>
      <c r="Q26" s="92">
        <f>SUM(Q21:Q25)</f>
        <v>250545249</v>
      </c>
      <c r="R26" s="92">
        <f>SUM(R21:R25)</f>
        <v>272543105</v>
      </c>
    </row>
    <row r="27" spans="1:111" x14ac:dyDescent="0.25">
      <c r="A27" s="70" t="s">
        <v>268</v>
      </c>
      <c r="B27" s="54">
        <f>-'[4]Balance Gral. Resol. 6'!G23-'[4]Balance Gral. Resol. 6'!G22</f>
        <v>0</v>
      </c>
      <c r="C27" s="54">
        <v>0</v>
      </c>
      <c r="D27" s="54"/>
      <c r="E27" s="54">
        <v>0</v>
      </c>
      <c r="F27" s="49">
        <f t="shared" si="1"/>
        <v>0</v>
      </c>
      <c r="G27" s="54"/>
      <c r="H27" s="54"/>
      <c r="I27" s="54"/>
      <c r="J27" s="54"/>
      <c r="K27" s="54"/>
      <c r="L27" s="54">
        <v>0</v>
      </c>
      <c r="M27" s="54"/>
      <c r="N27" s="54">
        <f>-F27</f>
        <v>0</v>
      </c>
      <c r="O27" s="52"/>
      <c r="P27" s="77"/>
      <c r="Q27" s="77"/>
      <c r="R27" s="77"/>
    </row>
    <row r="28" spans="1:111" x14ac:dyDescent="0.25">
      <c r="A28" s="70" t="s">
        <v>267</v>
      </c>
      <c r="B28" s="54">
        <v>0</v>
      </c>
      <c r="C28" s="54"/>
      <c r="D28" s="54"/>
      <c r="E28" s="54">
        <v>0</v>
      </c>
      <c r="F28" s="49">
        <f t="shared" si="1"/>
        <v>0</v>
      </c>
      <c r="G28" s="54"/>
      <c r="H28" s="54"/>
      <c r="I28" s="54"/>
      <c r="J28" s="54">
        <f>-F28</f>
        <v>0</v>
      </c>
      <c r="K28" s="44"/>
      <c r="M28" s="54"/>
      <c r="N28" s="54"/>
      <c r="O28" s="52"/>
      <c r="P28" s="77"/>
      <c r="Q28" s="77"/>
      <c r="R28" s="77"/>
    </row>
    <row r="29" spans="1:111" x14ac:dyDescent="0.25">
      <c r="A29" s="70" t="s">
        <v>266</v>
      </c>
      <c r="B29" s="54">
        <v>0</v>
      </c>
      <c r="C29" s="91"/>
      <c r="D29" s="54"/>
      <c r="E29" s="54">
        <v>0</v>
      </c>
      <c r="F29" s="49">
        <f t="shared" si="1"/>
        <v>0</v>
      </c>
      <c r="G29" s="54"/>
      <c r="H29" s="54"/>
      <c r="I29" s="54"/>
      <c r="J29" s="54"/>
      <c r="K29" s="54"/>
      <c r="L29" s="54">
        <f>-F29</f>
        <v>0</v>
      </c>
      <c r="M29" s="54"/>
      <c r="N29" s="54"/>
      <c r="O29" s="52"/>
      <c r="P29" s="77"/>
      <c r="Q29" s="77"/>
      <c r="R29" s="77"/>
    </row>
    <row r="30" spans="1:111" x14ac:dyDescent="0.25">
      <c r="A30" s="90" t="s">
        <v>265</v>
      </c>
      <c r="B30" s="88">
        <f>-'5.BG G'!C48</f>
        <v>-41588820000</v>
      </c>
      <c r="C30" s="89">
        <v>0</v>
      </c>
      <c r="D30" s="88"/>
      <c r="E30" s="88">
        <v>-19697964000</v>
      </c>
      <c r="F30" s="83">
        <f t="shared" si="1"/>
        <v>-21890856000</v>
      </c>
      <c r="G30" s="54"/>
      <c r="H30" s="54"/>
      <c r="I30" s="54"/>
      <c r="J30" s="54"/>
      <c r="K30" s="54"/>
      <c r="L30" s="54"/>
      <c r="M30" s="54"/>
      <c r="N30" s="54">
        <f>-F30</f>
        <v>21890856000</v>
      </c>
      <c r="O30" s="52"/>
      <c r="P30" s="77"/>
      <c r="Q30" s="77"/>
      <c r="R30" s="77"/>
    </row>
    <row r="31" spans="1:111" x14ac:dyDescent="0.25">
      <c r="A31" s="70" t="s">
        <v>264</v>
      </c>
      <c r="B31" s="54">
        <v>0</v>
      </c>
      <c r="C31" s="44"/>
      <c r="D31" s="54">
        <v>0</v>
      </c>
      <c r="E31" s="54">
        <v>0</v>
      </c>
      <c r="F31" s="49">
        <f t="shared" si="1"/>
        <v>0</v>
      </c>
      <c r="G31" s="54"/>
      <c r="H31" s="54"/>
      <c r="I31" s="54"/>
      <c r="J31" s="54"/>
      <c r="K31" s="54"/>
      <c r="L31" s="54"/>
      <c r="M31" s="54"/>
      <c r="N31" s="54">
        <f>-F31</f>
        <v>0</v>
      </c>
      <c r="O31" s="52"/>
      <c r="P31" s="77"/>
      <c r="Q31" s="77"/>
      <c r="R31" s="77"/>
    </row>
    <row r="32" spans="1:111" x14ac:dyDescent="0.25">
      <c r="A32" s="87" t="s">
        <v>263</v>
      </c>
      <c r="B32" s="86">
        <v>0</v>
      </c>
      <c r="C32" s="86">
        <v>0</v>
      </c>
      <c r="D32" s="86">
        <v>0</v>
      </c>
      <c r="E32" s="86">
        <v>0</v>
      </c>
      <c r="F32" s="83">
        <f t="shared" si="1"/>
        <v>0</v>
      </c>
      <c r="G32" s="58"/>
      <c r="H32" s="58"/>
      <c r="I32" s="58"/>
      <c r="J32" s="58"/>
      <c r="K32" s="58"/>
      <c r="L32" s="58"/>
      <c r="M32" s="58"/>
      <c r="N32" s="58"/>
      <c r="O32" s="57"/>
      <c r="P32" s="77"/>
      <c r="Q32" s="77"/>
      <c r="R32" s="77"/>
    </row>
    <row r="33" spans="1:111" x14ac:dyDescent="0.25">
      <c r="A33" s="87" t="s">
        <v>248</v>
      </c>
      <c r="B33" s="86">
        <v>0</v>
      </c>
      <c r="C33" s="86">
        <v>0</v>
      </c>
      <c r="D33" s="86"/>
      <c r="E33" s="86">
        <v>0</v>
      </c>
      <c r="F33" s="83">
        <f t="shared" si="1"/>
        <v>0</v>
      </c>
      <c r="G33" s="58"/>
      <c r="H33" s="58"/>
      <c r="I33" s="58"/>
      <c r="J33" s="58"/>
      <c r="K33" s="58"/>
      <c r="L33" s="58"/>
      <c r="M33" s="58"/>
      <c r="N33" s="58"/>
      <c r="O33" s="57"/>
      <c r="P33" s="77"/>
      <c r="Q33" s="77"/>
      <c r="R33" s="77"/>
    </row>
    <row r="34" spans="1:111" x14ac:dyDescent="0.25">
      <c r="A34" s="87" t="s">
        <v>262</v>
      </c>
      <c r="B34" s="86">
        <v>0</v>
      </c>
      <c r="C34" s="86">
        <v>0</v>
      </c>
      <c r="D34" s="86">
        <v>0</v>
      </c>
      <c r="E34" s="86">
        <v>0</v>
      </c>
      <c r="F34" s="83">
        <f t="shared" si="1"/>
        <v>0</v>
      </c>
      <c r="G34" s="58"/>
      <c r="H34" s="58"/>
      <c r="I34" s="58"/>
      <c r="J34" s="58"/>
      <c r="K34" s="58"/>
      <c r="L34" s="58"/>
      <c r="M34" s="58"/>
      <c r="N34" s="58"/>
      <c r="O34" s="57"/>
      <c r="P34" s="77"/>
      <c r="Q34" s="77"/>
      <c r="R34" s="77"/>
    </row>
    <row r="35" spans="1:111" s="82" customFormat="1" x14ac:dyDescent="0.25">
      <c r="A35" s="87" t="s">
        <v>261</v>
      </c>
      <c r="B35" s="86">
        <f>-'5.BG G'!C50</f>
        <v>0</v>
      </c>
      <c r="C35" s="86">
        <v>0</v>
      </c>
      <c r="D35" s="86">
        <v>0</v>
      </c>
      <c r="E35" s="86">
        <v>0</v>
      </c>
      <c r="F35" s="83">
        <f t="shared" si="1"/>
        <v>0</v>
      </c>
      <c r="G35" s="58"/>
      <c r="H35" s="58"/>
      <c r="I35" s="58"/>
      <c r="J35" s="58"/>
      <c r="K35" s="58"/>
      <c r="L35" s="58"/>
      <c r="M35" s="58"/>
      <c r="N35" s="58"/>
      <c r="O35" s="57"/>
      <c r="P35" s="77"/>
      <c r="Q35" s="77"/>
      <c r="R35" s="7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row>
    <row r="36" spans="1:111" x14ac:dyDescent="0.25">
      <c r="A36" s="103" t="s">
        <v>260</v>
      </c>
      <c r="B36" s="629">
        <f>-'5.BG G'!C50</f>
        <v>0</v>
      </c>
      <c r="C36" s="101">
        <f>+D37</f>
        <v>672841498.83000004</v>
      </c>
      <c r="D36" s="101"/>
      <c r="E36" s="629">
        <v>0</v>
      </c>
      <c r="F36" s="49">
        <f t="shared" si="1"/>
        <v>672841498.83000004</v>
      </c>
      <c r="G36" s="54"/>
      <c r="H36" s="54"/>
      <c r="I36" s="54"/>
      <c r="J36" s="54"/>
      <c r="K36" s="54"/>
      <c r="M36" s="54"/>
      <c r="N36" s="54">
        <f>-F36</f>
        <v>-672841498.83000004</v>
      </c>
      <c r="O36" s="52"/>
      <c r="P36" s="77"/>
      <c r="Q36" s="77"/>
      <c r="R36" s="77"/>
    </row>
    <row r="37" spans="1:111" s="82" customFormat="1" ht="13.8" thickBot="1" x14ac:dyDescent="0.3">
      <c r="A37" s="87" t="s">
        <v>259</v>
      </c>
      <c r="B37" s="84">
        <f>-'5.BG G'!C51</f>
        <v>-2019567744</v>
      </c>
      <c r="C37" s="86">
        <f>+D56</f>
        <v>2019567744.0374999</v>
      </c>
      <c r="D37" s="85">
        <f>-E37</f>
        <v>672841498.83000004</v>
      </c>
      <c r="E37" s="84">
        <v>-672841498.83000004</v>
      </c>
      <c r="F37" s="83">
        <f t="shared" si="1"/>
        <v>3.7499785423278809E-2</v>
      </c>
      <c r="G37" s="58"/>
      <c r="H37" s="58"/>
      <c r="I37" s="58"/>
      <c r="J37" s="58"/>
      <c r="K37" s="58"/>
      <c r="L37" s="58"/>
      <c r="M37" s="58"/>
      <c r="N37" s="58"/>
      <c r="O37" s="57"/>
      <c r="P37" s="77"/>
      <c r="Q37" s="77"/>
      <c r="R37" s="7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row>
    <row r="38" spans="1:111" ht="13.8" thickBot="1" x14ac:dyDescent="0.3">
      <c r="A38" s="81" t="s">
        <v>52</v>
      </c>
      <c r="B38" s="80">
        <f>SUM(B24:B37)</f>
        <v>-44274532507.420502</v>
      </c>
      <c r="C38" s="54"/>
      <c r="D38" s="54"/>
      <c r="E38" s="80">
        <v>-20840499906.830002</v>
      </c>
      <c r="F38" s="49">
        <f t="shared" si="1"/>
        <v>-23434032600.5905</v>
      </c>
      <c r="G38" s="54"/>
      <c r="H38" s="54"/>
      <c r="I38" s="54"/>
      <c r="J38" s="54"/>
      <c r="K38" s="54"/>
      <c r="L38" s="54"/>
      <c r="M38" s="54"/>
      <c r="N38" s="54"/>
      <c r="O38" s="52"/>
      <c r="P38" s="77"/>
      <c r="Q38" s="77"/>
      <c r="R38" s="77"/>
    </row>
    <row r="39" spans="1:111" ht="13.8" thickTop="1" x14ac:dyDescent="0.25">
      <c r="A39" s="79" t="s">
        <v>258</v>
      </c>
      <c r="B39" s="78">
        <f>+B38+B22</f>
        <v>-0.35150146484375</v>
      </c>
      <c r="C39" s="54"/>
      <c r="D39" s="54"/>
      <c r="E39" s="78">
        <v>0</v>
      </c>
      <c r="F39" s="49">
        <v>0</v>
      </c>
      <c r="G39" s="54"/>
      <c r="H39" s="54"/>
      <c r="I39" s="54"/>
      <c r="J39" s="54"/>
      <c r="K39" s="54"/>
      <c r="L39" s="54"/>
      <c r="M39" s="54"/>
      <c r="N39" s="54"/>
      <c r="O39" s="52"/>
      <c r="P39" s="77"/>
      <c r="Q39" s="77"/>
      <c r="R39" s="77"/>
    </row>
    <row r="40" spans="1:111" x14ac:dyDescent="0.25">
      <c r="A40" s="70" t="s">
        <v>257</v>
      </c>
      <c r="B40" s="54">
        <f>-'6.EERR G'!C13</f>
        <v>-4227937287.4350004</v>
      </c>
      <c r="C40" s="54"/>
      <c r="D40" s="54">
        <f>+B40</f>
        <v>-4227937287.4350004</v>
      </c>
      <c r="E40" s="54"/>
      <c r="F40" s="49">
        <f t="shared" ref="F40:F51" si="2">B40-E40+C40-D40</f>
        <v>0</v>
      </c>
      <c r="G40" s="54">
        <f>-F40</f>
        <v>0</v>
      </c>
      <c r="H40" s="54"/>
      <c r="I40" s="54"/>
      <c r="J40" s="54"/>
      <c r="K40" s="54"/>
      <c r="L40" s="54"/>
      <c r="M40" s="54"/>
      <c r="N40" s="54"/>
      <c r="O40" s="52"/>
    </row>
    <row r="41" spans="1:111" x14ac:dyDescent="0.25">
      <c r="A41" s="70" t="s">
        <v>256</v>
      </c>
      <c r="B41" s="54">
        <f>-'6.EERR G'!C11-'6.EERR G'!C12-'6.EERR G'!C14</f>
        <v>-501889582.44499999</v>
      </c>
      <c r="C41" s="54"/>
      <c r="D41" s="54"/>
      <c r="E41" s="54"/>
      <c r="F41" s="49">
        <f t="shared" si="2"/>
        <v>-501889582.44499999</v>
      </c>
      <c r="G41" s="54">
        <f>-F41</f>
        <v>501889582.44499999</v>
      </c>
      <c r="H41" s="54">
        <v>0</v>
      </c>
      <c r="I41" s="54"/>
      <c r="J41" s="54"/>
      <c r="K41" s="54"/>
      <c r="L41" s="54"/>
      <c r="M41" s="54"/>
      <c r="N41" s="54"/>
      <c r="O41" s="52"/>
    </row>
    <row r="42" spans="1:111" x14ac:dyDescent="0.25">
      <c r="A42" s="70" t="s">
        <v>255</v>
      </c>
      <c r="B42" s="54">
        <v>0</v>
      </c>
      <c r="C42" s="54"/>
      <c r="D42" s="54"/>
      <c r="E42" s="54"/>
      <c r="F42" s="49">
        <f t="shared" si="2"/>
        <v>0</v>
      </c>
      <c r="G42" s="54"/>
      <c r="H42" s="54"/>
      <c r="I42" s="54"/>
      <c r="J42" s="54"/>
      <c r="K42" s="54"/>
      <c r="L42" s="54"/>
      <c r="M42" s="54">
        <f>-F42</f>
        <v>0</v>
      </c>
      <c r="N42" s="54"/>
      <c r="O42" s="52"/>
    </row>
    <row r="43" spans="1:111" x14ac:dyDescent="0.25">
      <c r="A43" s="70" t="s">
        <v>254</v>
      </c>
      <c r="B43" s="54">
        <v>0</v>
      </c>
      <c r="C43" s="54"/>
      <c r="D43" s="54"/>
      <c r="E43" s="54"/>
      <c r="F43" s="49">
        <f t="shared" si="2"/>
        <v>0</v>
      </c>
      <c r="G43" s="54"/>
      <c r="H43" s="54"/>
      <c r="I43" s="54"/>
      <c r="J43" s="54"/>
      <c r="K43" s="54"/>
      <c r="L43" s="54"/>
      <c r="M43" s="54">
        <f>-B43</f>
        <v>0</v>
      </c>
      <c r="N43" s="54"/>
      <c r="O43" s="52"/>
    </row>
    <row r="44" spans="1:111" x14ac:dyDescent="0.25">
      <c r="A44" s="70" t="s">
        <v>253</v>
      </c>
      <c r="B44" s="54">
        <f>+'6.EERR G'!C21</f>
        <v>421400417.61749995</v>
      </c>
      <c r="C44" s="54"/>
      <c r="D44" s="54">
        <f>+'[5]ESTADOS DE RESULTADOS'!$C$28</f>
        <v>178213500</v>
      </c>
      <c r="E44" s="54"/>
      <c r="F44" s="49">
        <f t="shared" si="2"/>
        <v>243186917.61749995</v>
      </c>
      <c r="G44" s="54">
        <v>0</v>
      </c>
      <c r="H44" s="54"/>
      <c r="I44" s="54">
        <f>-F44</f>
        <v>-243186917.61749995</v>
      </c>
      <c r="J44" s="54"/>
      <c r="K44" s="54"/>
      <c r="L44" s="54"/>
      <c r="M44" s="54"/>
      <c r="N44" s="54"/>
      <c r="O44" s="52"/>
    </row>
    <row r="45" spans="1:111" x14ac:dyDescent="0.25">
      <c r="A45" s="70" t="s">
        <v>252</v>
      </c>
      <c r="B45" s="54">
        <v>0</v>
      </c>
      <c r="C45" s="54"/>
      <c r="D45" s="54"/>
      <c r="E45" s="54"/>
      <c r="F45" s="49">
        <f t="shared" si="2"/>
        <v>0</v>
      </c>
      <c r="G45" s="54"/>
      <c r="H45" s="54"/>
      <c r="I45" s="54"/>
      <c r="J45" s="54"/>
      <c r="K45" s="54">
        <f>-F45</f>
        <v>0</v>
      </c>
      <c r="L45" s="54"/>
      <c r="M45" s="54"/>
      <c r="N45" s="54"/>
      <c r="O45" s="52"/>
    </row>
    <row r="46" spans="1:111" x14ac:dyDescent="0.25">
      <c r="A46" s="70" t="s">
        <v>251</v>
      </c>
      <c r="B46" s="54">
        <f>+'6.EERR G'!C17</f>
        <v>1523737089.855</v>
      </c>
      <c r="C46" s="54"/>
      <c r="D46" s="54">
        <f>+B46</f>
        <v>1523737089.855</v>
      </c>
      <c r="E46" s="54"/>
      <c r="F46" s="49">
        <f t="shared" si="2"/>
        <v>0</v>
      </c>
      <c r="G46" s="54"/>
      <c r="H46" s="54"/>
      <c r="I46" s="54"/>
      <c r="J46" s="54"/>
      <c r="K46" s="54"/>
      <c r="L46" s="54">
        <f>-F46</f>
        <v>0</v>
      </c>
      <c r="M46" s="54"/>
      <c r="N46" s="54"/>
      <c r="O46" s="52"/>
    </row>
    <row r="47" spans="1:111" x14ac:dyDescent="0.25">
      <c r="A47" s="70" t="s">
        <v>250</v>
      </c>
      <c r="B47" s="76">
        <f>+'6.EERR G'!C19+'6.EERR G'!C20+'6.EERR G'!C22</f>
        <v>765121618.37</v>
      </c>
      <c r="C47" s="54"/>
      <c r="D47" s="69">
        <v>240810794</v>
      </c>
      <c r="E47" s="76"/>
      <c r="F47" s="49">
        <f t="shared" si="2"/>
        <v>524310824.37</v>
      </c>
      <c r="G47" s="54"/>
      <c r="H47" s="54"/>
      <c r="I47" s="54"/>
      <c r="J47" s="54"/>
      <c r="K47" s="54"/>
      <c r="L47" s="54">
        <f>-F47</f>
        <v>-524310824.37</v>
      </c>
      <c r="M47" s="54"/>
      <c r="N47" s="54"/>
      <c r="O47" s="52"/>
    </row>
    <row r="48" spans="1:111" x14ac:dyDescent="0.25">
      <c r="A48" s="72" t="s">
        <v>249</v>
      </c>
      <c r="B48" s="73">
        <v>0</v>
      </c>
      <c r="C48" s="61"/>
      <c r="D48" s="60"/>
      <c r="E48" s="73"/>
      <c r="F48" s="71">
        <f t="shared" si="2"/>
        <v>0</v>
      </c>
      <c r="G48" s="58"/>
      <c r="H48" s="58"/>
      <c r="I48" s="58"/>
      <c r="J48" s="58"/>
      <c r="K48" s="58"/>
      <c r="L48" s="58">
        <f>F48</f>
        <v>0</v>
      </c>
      <c r="M48" s="58"/>
      <c r="N48" s="58"/>
      <c r="O48" s="57"/>
    </row>
    <row r="49" spans="1:15" x14ac:dyDescent="0.25">
      <c r="A49" s="68" t="s">
        <v>248</v>
      </c>
      <c r="B49" s="75">
        <v>0</v>
      </c>
      <c r="C49" s="61"/>
      <c r="D49" s="60"/>
      <c r="E49" s="73"/>
      <c r="F49" s="71">
        <f t="shared" si="2"/>
        <v>0</v>
      </c>
      <c r="G49" s="58"/>
      <c r="H49" s="58"/>
      <c r="I49" s="58"/>
      <c r="J49" s="58"/>
      <c r="K49" s="58"/>
      <c r="L49" s="58">
        <f>-F49</f>
        <v>0</v>
      </c>
      <c r="M49" s="58"/>
      <c r="N49" s="58"/>
      <c r="O49" s="57"/>
    </row>
    <row r="50" spans="1:15" x14ac:dyDescent="0.25">
      <c r="A50" s="74" t="s">
        <v>247</v>
      </c>
      <c r="B50" s="73">
        <v>0</v>
      </c>
      <c r="C50" s="61"/>
      <c r="D50" s="60"/>
      <c r="E50" s="73"/>
      <c r="F50" s="71">
        <f t="shared" si="2"/>
        <v>0</v>
      </c>
      <c r="G50" s="58"/>
      <c r="H50" s="58"/>
      <c r="I50" s="58"/>
      <c r="J50" s="58"/>
      <c r="K50" s="58"/>
      <c r="L50" s="58">
        <f>-F50</f>
        <v>0</v>
      </c>
      <c r="M50" s="58"/>
      <c r="N50" s="58"/>
      <c r="O50" s="57"/>
    </row>
    <row r="51" spans="1:15" x14ac:dyDescent="0.25">
      <c r="A51" s="72" t="s">
        <v>246</v>
      </c>
      <c r="B51" s="61">
        <v>0</v>
      </c>
      <c r="C51" s="61"/>
      <c r="D51" s="60"/>
      <c r="E51" s="61"/>
      <c r="F51" s="71">
        <f t="shared" si="2"/>
        <v>0</v>
      </c>
      <c r="G51" s="54"/>
      <c r="H51" s="54"/>
      <c r="I51" s="54"/>
      <c r="J51" s="54"/>
      <c r="K51" s="54"/>
      <c r="L51" s="54"/>
      <c r="M51" s="54"/>
      <c r="N51" s="54">
        <f>+L5-F51</f>
        <v>0</v>
      </c>
      <c r="O51" s="52"/>
    </row>
    <row r="52" spans="1:15" x14ac:dyDescent="0.25">
      <c r="A52" s="70"/>
      <c r="B52" s="53"/>
      <c r="C52" s="54"/>
      <c r="D52" s="69"/>
      <c r="E52" s="53"/>
      <c r="F52" s="49"/>
      <c r="G52" s="54"/>
      <c r="H52" s="54"/>
      <c r="I52" s="54"/>
      <c r="J52" s="54"/>
      <c r="K52" s="54"/>
      <c r="L52" s="54"/>
      <c r="M52" s="54"/>
      <c r="N52" s="54"/>
      <c r="O52" s="52"/>
    </row>
    <row r="53" spans="1:15" x14ac:dyDescent="0.25">
      <c r="A53" s="70"/>
      <c r="B53" s="54"/>
      <c r="C53" s="54"/>
      <c r="D53" s="69"/>
      <c r="E53" s="53"/>
      <c r="F53" s="49"/>
      <c r="G53" s="54"/>
      <c r="H53" s="54"/>
      <c r="I53" s="54"/>
      <c r="J53" s="54"/>
      <c r="K53" s="54"/>
      <c r="L53" s="54"/>
      <c r="M53" s="54"/>
      <c r="N53" s="54"/>
      <c r="O53" s="52"/>
    </row>
    <row r="54" spans="1:15" x14ac:dyDescent="0.25">
      <c r="A54" s="70"/>
      <c r="B54" s="54">
        <v>0</v>
      </c>
      <c r="C54" s="54"/>
      <c r="D54" s="69"/>
      <c r="E54" s="53"/>
      <c r="F54" s="49"/>
      <c r="G54" s="54"/>
      <c r="H54" s="54"/>
      <c r="I54" s="54"/>
      <c r="J54" s="54"/>
      <c r="K54" s="54"/>
      <c r="L54" s="54"/>
      <c r="M54" s="54"/>
      <c r="N54" s="54"/>
      <c r="O54" s="52"/>
    </row>
    <row r="55" spans="1:15" ht="13.8" thickBot="1" x14ac:dyDescent="0.3">
      <c r="A55" s="68" t="s">
        <v>245</v>
      </c>
      <c r="B55" s="67">
        <v>0</v>
      </c>
      <c r="C55" s="66"/>
      <c r="D55" s="65"/>
      <c r="E55" s="60"/>
      <c r="F55" s="59">
        <f>B55-E55+C55-D55</f>
        <v>0</v>
      </c>
      <c r="G55" s="64"/>
      <c r="H55" s="58"/>
      <c r="I55" s="58"/>
      <c r="J55" s="58"/>
      <c r="K55" s="58"/>
      <c r="L55" s="58">
        <f>-F55</f>
        <v>0</v>
      </c>
      <c r="M55" s="58"/>
      <c r="N55" s="58"/>
      <c r="O55" s="57"/>
    </row>
    <row r="56" spans="1:15" ht="13.8" thickBot="1" x14ac:dyDescent="0.3">
      <c r="A56" s="63" t="s">
        <v>244</v>
      </c>
      <c r="B56" s="62">
        <f>SUM(B40:B55)*-1</f>
        <v>2019567744.0374999</v>
      </c>
      <c r="C56" s="61"/>
      <c r="D56" s="60">
        <f>+B56</f>
        <v>2019567744.0374999</v>
      </c>
      <c r="E56" s="60"/>
      <c r="F56" s="59">
        <f>B56-E56+C56-D56</f>
        <v>0</v>
      </c>
      <c r="G56" s="58"/>
      <c r="H56" s="58"/>
      <c r="I56" s="58"/>
      <c r="J56" s="58"/>
      <c r="K56" s="58"/>
      <c r="L56" s="58">
        <f>-F56</f>
        <v>0</v>
      </c>
      <c r="M56" s="58"/>
      <c r="N56" s="58"/>
      <c r="O56" s="57"/>
    </row>
    <row r="57" spans="1:15" ht="13.8" thickBot="1" x14ac:dyDescent="0.3">
      <c r="A57" s="56" t="s">
        <v>243</v>
      </c>
      <c r="B57" s="55">
        <f>+B56+B37</f>
        <v>3.7499904632568359E-2</v>
      </c>
      <c r="C57" s="55"/>
      <c r="D57" s="55"/>
      <c r="E57" s="50"/>
      <c r="F57" s="49"/>
      <c r="G57" s="53"/>
      <c r="H57" s="53"/>
      <c r="I57" s="53"/>
      <c r="J57" s="53"/>
      <c r="K57" s="53"/>
      <c r="L57" s="54"/>
      <c r="M57" s="54"/>
      <c r="N57" s="53"/>
      <c r="O57" s="52"/>
    </row>
    <row r="58" spans="1:15" ht="14.4" thickBot="1" x14ac:dyDescent="0.3">
      <c r="A58" s="51" t="s">
        <v>109</v>
      </c>
      <c r="B58" s="50"/>
      <c r="C58" s="50">
        <f>SUM(C9:C56)</f>
        <v>166422545.28749943</v>
      </c>
      <c r="D58" s="50">
        <f>SUM(D9:D57)</f>
        <v>166422545.28749943</v>
      </c>
      <c r="E58" s="50"/>
      <c r="F58" s="49">
        <f>B58-E58+C58-D58</f>
        <v>0</v>
      </c>
      <c r="G58" s="48">
        <f t="shared" ref="G58:N58" si="3">SUM(G9:G56)</f>
        <v>501889582.44499999</v>
      </c>
      <c r="H58" s="48">
        <f t="shared" si="3"/>
        <v>0</v>
      </c>
      <c r="I58" s="48">
        <f t="shared" si="3"/>
        <v>-1570473652.052</v>
      </c>
      <c r="J58" s="48">
        <f t="shared" si="3"/>
        <v>0</v>
      </c>
      <c r="K58" s="48">
        <f t="shared" si="3"/>
        <v>0</v>
      </c>
      <c r="L58" s="48">
        <f t="shared" si="3"/>
        <v>-2502910998.1219997</v>
      </c>
      <c r="M58" s="48">
        <f t="shared" si="3"/>
        <v>-19235532800.426998</v>
      </c>
      <c r="N58" s="48">
        <f t="shared" si="3"/>
        <v>21218014501.169998</v>
      </c>
      <c r="O58" s="47">
        <f>SUM(F58:N58)</f>
        <v>-1589013366.9860001</v>
      </c>
    </row>
    <row r="59" spans="1:15" ht="15.6" x14ac:dyDescent="0.3">
      <c r="B59" s="46">
        <f>+B37+B56</f>
        <v>3.7499904632568359E-2</v>
      </c>
      <c r="D59" s="45">
        <f>D58-C58</f>
        <v>0</v>
      </c>
      <c r="L59" s="44"/>
      <c r="O59" s="43">
        <f>O58-O9</f>
        <v>0.55900001525878906</v>
      </c>
    </row>
    <row r="60" spans="1:15" x14ac:dyDescent="0.25">
      <c r="A60" s="42"/>
      <c r="B60" s="42"/>
      <c r="C60" s="42"/>
    </row>
    <row r="61" spans="1:15" ht="21" x14ac:dyDescent="0.4">
      <c r="A61" s="41" t="s">
        <v>236</v>
      </c>
      <c r="B61" s="40"/>
      <c r="C61" s="40"/>
      <c r="D61" s="39"/>
      <c r="E61" s="39"/>
    </row>
    <row r="62" spans="1:15" ht="15" x14ac:dyDescent="0.25">
      <c r="A62" s="36"/>
      <c r="B62" s="36"/>
      <c r="C62" s="36"/>
      <c r="D62" s="28"/>
      <c r="E62" s="28">
        <v>0</v>
      </c>
    </row>
    <row r="63" spans="1:15" ht="15" x14ac:dyDescent="0.25">
      <c r="A63" s="35" t="s">
        <v>242</v>
      </c>
      <c r="B63" s="31">
        <f>+G58</f>
        <v>501889582.44499999</v>
      </c>
      <c r="C63" s="34"/>
      <c r="D63" s="31"/>
      <c r="E63" s="28"/>
    </row>
    <row r="64" spans="1:15" ht="15" x14ac:dyDescent="0.25">
      <c r="A64" s="35" t="s">
        <v>241</v>
      </c>
      <c r="B64" s="31">
        <f>+H58</f>
        <v>0</v>
      </c>
      <c r="C64" s="34"/>
      <c r="D64" s="31"/>
      <c r="E64" s="28"/>
    </row>
    <row r="65" spans="1:5" ht="15" x14ac:dyDescent="0.25">
      <c r="A65" s="35" t="s">
        <v>240</v>
      </c>
      <c r="B65" s="31">
        <f>+I58</f>
        <v>-1570473652.052</v>
      </c>
      <c r="C65" s="34"/>
      <c r="D65" s="31"/>
      <c r="E65" s="28"/>
    </row>
    <row r="66" spans="1:5" ht="15" x14ac:dyDescent="0.25">
      <c r="A66" s="35" t="s">
        <v>239</v>
      </c>
      <c r="B66" s="31">
        <f>+K58</f>
        <v>0</v>
      </c>
      <c r="C66" s="34"/>
      <c r="D66" s="31"/>
      <c r="E66" s="28"/>
    </row>
    <row r="67" spans="1:5" ht="15" x14ac:dyDescent="0.25">
      <c r="A67" s="35" t="s">
        <v>238</v>
      </c>
      <c r="B67" s="31">
        <f>+L58</f>
        <v>-2502910998.1219997</v>
      </c>
      <c r="C67" s="34"/>
      <c r="D67" s="31"/>
      <c r="E67" s="28"/>
    </row>
    <row r="68" spans="1:5" ht="15" x14ac:dyDescent="0.25">
      <c r="A68" s="35" t="s">
        <v>237</v>
      </c>
      <c r="B68" s="31">
        <f>+J58</f>
        <v>0</v>
      </c>
      <c r="C68" s="34"/>
      <c r="D68" s="31"/>
      <c r="E68" s="28"/>
    </row>
    <row r="69" spans="1:5" ht="15" x14ac:dyDescent="0.25">
      <c r="A69" s="36"/>
      <c r="B69" s="31"/>
      <c r="C69" s="34"/>
      <c r="D69" s="31"/>
      <c r="E69" s="28"/>
    </row>
    <row r="70" spans="1:5" ht="15.6" x14ac:dyDescent="0.3">
      <c r="A70" s="33" t="s">
        <v>236</v>
      </c>
      <c r="B70" s="31"/>
      <c r="C70" s="37">
        <f>SUM(B63:B68)</f>
        <v>-3571495067.7290001</v>
      </c>
      <c r="D70" s="31"/>
      <c r="E70" s="28"/>
    </row>
    <row r="71" spans="1:5" ht="15" x14ac:dyDescent="0.25">
      <c r="A71" s="36"/>
      <c r="B71" s="31"/>
      <c r="C71" s="34"/>
      <c r="D71" s="31"/>
      <c r="E71" s="28"/>
    </row>
    <row r="72" spans="1:5" ht="15" x14ac:dyDescent="0.25">
      <c r="A72" s="35" t="s">
        <v>317</v>
      </c>
      <c r="B72" s="38">
        <f>+M16</f>
        <v>-8790495807.5649986</v>
      </c>
      <c r="C72" s="34"/>
      <c r="D72" s="31"/>
      <c r="E72" s="28"/>
    </row>
    <row r="73" spans="1:5" ht="15" x14ac:dyDescent="0.25">
      <c r="A73" s="35" t="s">
        <v>235</v>
      </c>
      <c r="B73" s="38">
        <f>+M17+M19-1</f>
        <v>-180751340.125</v>
      </c>
      <c r="C73" s="34"/>
      <c r="D73" s="31"/>
      <c r="E73" s="28"/>
    </row>
    <row r="74" spans="1:5" ht="15" x14ac:dyDescent="0.25">
      <c r="A74" s="35" t="s">
        <v>234</v>
      </c>
      <c r="B74" s="38">
        <f>+M15</f>
        <v>-10264285653.737</v>
      </c>
      <c r="C74" s="34"/>
      <c r="D74" s="31"/>
      <c r="E74" s="28"/>
    </row>
    <row r="75" spans="1:5" ht="15" x14ac:dyDescent="0.25">
      <c r="A75" s="35" t="s">
        <v>233</v>
      </c>
      <c r="B75" s="38">
        <v>0</v>
      </c>
      <c r="C75" s="34"/>
      <c r="D75" s="31"/>
      <c r="E75" s="28"/>
    </row>
    <row r="76" spans="1:5" ht="15" x14ac:dyDescent="0.25">
      <c r="A76" s="35" t="s">
        <v>232</v>
      </c>
      <c r="B76" s="38">
        <v>0</v>
      </c>
      <c r="C76" s="34"/>
      <c r="D76" s="31"/>
      <c r="E76" s="28"/>
    </row>
    <row r="77" spans="1:5" ht="15" x14ac:dyDescent="0.25">
      <c r="A77" s="35"/>
      <c r="B77" s="38"/>
      <c r="C77" s="34"/>
      <c r="D77" s="31"/>
      <c r="E77" s="28"/>
    </row>
    <row r="78" spans="1:5" ht="15" x14ac:dyDescent="0.25">
      <c r="A78" s="35"/>
      <c r="B78" s="31">
        <v>0</v>
      </c>
      <c r="C78" s="34"/>
      <c r="D78" s="31"/>
      <c r="E78" s="28"/>
    </row>
    <row r="79" spans="1:5" ht="15" x14ac:dyDescent="0.25">
      <c r="A79" s="36"/>
      <c r="B79" s="31"/>
      <c r="C79" s="34"/>
      <c r="D79" s="31"/>
      <c r="E79" s="28"/>
    </row>
    <row r="80" spans="1:5" ht="15.6" x14ac:dyDescent="0.3">
      <c r="A80" s="33" t="s">
        <v>231</v>
      </c>
      <c r="B80" s="31"/>
      <c r="C80" s="37">
        <f>SUM(B72:B78)</f>
        <v>-19235532801.426998</v>
      </c>
      <c r="D80" s="31"/>
      <c r="E80" s="28"/>
    </row>
    <row r="81" spans="1:5" ht="15" x14ac:dyDescent="0.25">
      <c r="A81" s="36"/>
      <c r="B81" s="31"/>
      <c r="C81" s="34"/>
      <c r="D81" s="31"/>
      <c r="E81" s="28"/>
    </row>
    <row r="82" spans="1:5" ht="15.6" x14ac:dyDescent="0.3">
      <c r="A82" s="33" t="s">
        <v>230</v>
      </c>
      <c r="B82" s="31"/>
      <c r="C82" s="34"/>
      <c r="D82" s="31"/>
      <c r="E82" s="28"/>
    </row>
    <row r="83" spans="1:5" ht="15" x14ac:dyDescent="0.25">
      <c r="A83" s="36"/>
      <c r="B83" s="31"/>
      <c r="C83" s="34"/>
      <c r="D83" s="31"/>
      <c r="E83" s="28"/>
    </row>
    <row r="84" spans="1:5" ht="15" x14ac:dyDescent="0.25">
      <c r="A84" s="35" t="s">
        <v>229</v>
      </c>
      <c r="B84" s="31">
        <f>+N24</f>
        <v>0</v>
      </c>
      <c r="C84" s="34"/>
      <c r="D84" s="31"/>
      <c r="E84" s="28"/>
    </row>
    <row r="85" spans="1:5" ht="15" x14ac:dyDescent="0.25">
      <c r="A85" s="35" t="s">
        <v>228</v>
      </c>
      <c r="B85" s="38">
        <f>+N36</f>
        <v>-672841498.83000004</v>
      </c>
      <c r="C85" s="34"/>
      <c r="D85" s="31"/>
      <c r="E85" s="28"/>
    </row>
    <row r="86" spans="1:5" ht="15" x14ac:dyDescent="0.25">
      <c r="A86" s="35" t="s">
        <v>227</v>
      </c>
      <c r="B86" s="31">
        <f>+N30</f>
        <v>21890856000</v>
      </c>
      <c r="C86" s="34"/>
      <c r="D86" s="31"/>
      <c r="E86" s="28"/>
    </row>
    <row r="87" spans="1:5" ht="15" x14ac:dyDescent="0.25">
      <c r="A87" s="36"/>
      <c r="B87" s="31"/>
      <c r="C87" s="34"/>
      <c r="D87" s="31"/>
      <c r="E87" s="28"/>
    </row>
    <row r="88" spans="1:5" ht="15.6" x14ac:dyDescent="0.3">
      <c r="A88" s="33" t="s">
        <v>226</v>
      </c>
      <c r="B88" s="31"/>
      <c r="C88" s="37">
        <f>SUM(B84:B86)</f>
        <v>21218014501.169998</v>
      </c>
      <c r="D88" s="31"/>
      <c r="E88" s="28"/>
    </row>
    <row r="89" spans="1:5" ht="15" x14ac:dyDescent="0.25">
      <c r="A89" s="36"/>
      <c r="B89" s="31"/>
      <c r="C89" s="34"/>
      <c r="D89" s="31"/>
      <c r="E89" s="28"/>
    </row>
    <row r="90" spans="1:5" ht="15.6" x14ac:dyDescent="0.3">
      <c r="A90" s="35" t="s">
        <v>225</v>
      </c>
      <c r="B90" s="31"/>
      <c r="C90" s="34">
        <f>C88+C80+C70</f>
        <v>-1589013367.9860001</v>
      </c>
      <c r="D90" s="31">
        <f>O58</f>
        <v>-1589013366.9860001</v>
      </c>
      <c r="E90" s="30">
        <f>D90-C90</f>
        <v>1</v>
      </c>
    </row>
    <row r="91" spans="1:5" ht="15.6" x14ac:dyDescent="0.3">
      <c r="A91" s="35" t="s">
        <v>224</v>
      </c>
      <c r="B91" s="31"/>
      <c r="C91" s="34">
        <f>+E9</f>
        <v>1793373924</v>
      </c>
      <c r="D91" s="31"/>
      <c r="E91" s="30"/>
    </row>
    <row r="92" spans="1:5" ht="15.6" x14ac:dyDescent="0.3">
      <c r="A92" s="33" t="s">
        <v>223</v>
      </c>
      <c r="B92" s="32"/>
      <c r="C92" s="32">
        <f>SUM(C90:C91)</f>
        <v>204360556.01399994</v>
      </c>
      <c r="D92" s="31">
        <f>B9</f>
        <v>204360556.45499998</v>
      </c>
      <c r="E92" s="30">
        <f>D92-C92</f>
        <v>0.44100004434585571</v>
      </c>
    </row>
    <row r="93" spans="1:5" ht="15" x14ac:dyDescent="0.25">
      <c r="A93" s="28"/>
      <c r="B93" s="28"/>
      <c r="C93" s="28"/>
      <c r="D93" s="28"/>
      <c r="E93" s="28"/>
    </row>
    <row r="94" spans="1:5" ht="15" x14ac:dyDescent="0.25">
      <c r="A94" s="28"/>
      <c r="B94" s="28"/>
      <c r="C94" s="28"/>
      <c r="D94" s="28"/>
      <c r="E94" s="28"/>
    </row>
    <row r="95" spans="1:5" ht="15" x14ac:dyDescent="0.25">
      <c r="A95" s="28"/>
      <c r="B95" s="28"/>
      <c r="C95" s="29"/>
      <c r="D95" s="28"/>
      <c r="E95" s="28"/>
    </row>
    <row r="96" spans="1:5" ht="15" x14ac:dyDescent="0.25">
      <c r="A96" s="28"/>
      <c r="B96" s="28"/>
      <c r="C96" s="28"/>
      <c r="D96" s="28"/>
      <c r="E96" s="28"/>
    </row>
    <row r="97" spans="1:5" ht="15" x14ac:dyDescent="0.25">
      <c r="A97" s="28"/>
      <c r="B97" s="28"/>
      <c r="C97" s="28"/>
      <c r="D97" s="28"/>
      <c r="E97" s="28"/>
    </row>
    <row r="98" spans="1:5" ht="15" x14ac:dyDescent="0.25">
      <c r="A98" s="28"/>
      <c r="B98" s="28"/>
      <c r="C98" s="28"/>
      <c r="D98" s="28"/>
      <c r="E98" s="28"/>
    </row>
    <row r="99" spans="1:5" ht="15" x14ac:dyDescent="0.25">
      <c r="A99" s="28"/>
      <c r="B99" s="28"/>
      <c r="C99" s="28"/>
      <c r="D99" s="28"/>
      <c r="E99" s="28"/>
    </row>
    <row r="100" spans="1:5" ht="15" x14ac:dyDescent="0.25">
      <c r="A100" s="28"/>
      <c r="B100" s="28"/>
      <c r="C100" s="28"/>
      <c r="D100" s="28"/>
      <c r="E100" s="28"/>
    </row>
    <row r="101" spans="1:5" ht="15" x14ac:dyDescent="0.25">
      <c r="A101" s="28"/>
      <c r="B101" s="28"/>
      <c r="C101" s="28"/>
      <c r="D101" s="28"/>
      <c r="E101" s="28"/>
    </row>
  </sheetData>
  <printOptions gridLines="1" gridLinesSet="0"/>
  <pageMargins left="0.74803149606299213" right="0.74803149606299213" top="0.98425196850393704" bottom="0.98425196850393704" header="0.51181102362204722" footer="0.51181102362204722"/>
  <pageSetup paperSize="9" scale="6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7"/>
  <sheetViews>
    <sheetView showGridLines="0" topLeftCell="B15" workbookViewId="0">
      <selection activeCell="C18" sqref="C18"/>
    </sheetView>
  </sheetViews>
  <sheetFormatPr baseColWidth="10" defaultColWidth="9.109375" defaultRowHeight="15.6" x14ac:dyDescent="0.35"/>
  <cols>
    <col min="1" max="1" width="11.88671875" style="280" customWidth="1"/>
    <col min="2" max="2" width="63.44140625" style="280" customWidth="1"/>
    <col min="3" max="3" width="23.5546875" style="403" customWidth="1"/>
    <col min="4" max="4" width="3.5546875" style="280" customWidth="1"/>
    <col min="5" max="5" width="21.33203125" style="280" customWidth="1"/>
    <col min="6" max="6" width="6.5546875" style="288" customWidth="1"/>
    <col min="7" max="7" width="17" style="288" bestFit="1" customWidth="1"/>
    <col min="8" max="8" width="12.33203125" style="288" bestFit="1" customWidth="1"/>
    <col min="9" max="9" width="19.109375" style="288" customWidth="1"/>
    <col min="10" max="10" width="12.88671875" style="288" bestFit="1" customWidth="1"/>
    <col min="11" max="16384" width="9.109375" style="288"/>
  </cols>
  <sheetData>
    <row r="1" spans="1:10" x14ac:dyDescent="0.35">
      <c r="B1" s="284"/>
      <c r="C1" s="440"/>
      <c r="E1" s="284"/>
      <c r="F1" s="284"/>
      <c r="G1" s="284"/>
      <c r="H1" s="478"/>
    </row>
    <row r="2" spans="1:10" x14ac:dyDescent="0.35">
      <c r="B2" s="284"/>
      <c r="C2" s="519"/>
      <c r="E2" s="683"/>
      <c r="F2" s="683"/>
      <c r="G2" s="683"/>
      <c r="H2" s="683"/>
    </row>
    <row r="3" spans="1:10" ht="26.4" x14ac:dyDescent="0.6">
      <c r="B3" s="675" t="s">
        <v>168</v>
      </c>
      <c r="C3" s="675"/>
      <c r="D3" s="675"/>
      <c r="E3" s="675"/>
      <c r="F3" s="371"/>
      <c r="G3" s="684"/>
      <c r="H3" s="684"/>
    </row>
    <row r="4" spans="1:10" ht="26.4" x14ac:dyDescent="0.6">
      <c r="A4" s="288"/>
      <c r="B4" s="678" t="s">
        <v>202</v>
      </c>
      <c r="C4" s="678"/>
      <c r="D4" s="678"/>
      <c r="E4" s="678"/>
    </row>
    <row r="5" spans="1:10" x14ac:dyDescent="0.35">
      <c r="A5" s="288"/>
      <c r="B5" s="670" t="s">
        <v>348</v>
      </c>
      <c r="C5" s="670"/>
      <c r="D5" s="670"/>
      <c r="E5" s="670"/>
    </row>
    <row r="6" spans="1:10" ht="16.5" customHeight="1" x14ac:dyDescent="0.35">
      <c r="A6" s="370"/>
      <c r="B6" s="677" t="s">
        <v>58</v>
      </c>
      <c r="C6" s="677"/>
      <c r="D6" s="677"/>
      <c r="E6" s="677"/>
    </row>
    <row r="7" spans="1:10" x14ac:dyDescent="0.35">
      <c r="A7" s="370"/>
      <c r="B7" s="370"/>
      <c r="C7" s="520"/>
      <c r="G7" s="521"/>
      <c r="H7" s="521"/>
      <c r="I7" s="521"/>
    </row>
    <row r="8" spans="1:10" s="556" customFormat="1" x14ac:dyDescent="0.35">
      <c r="A8" s="555"/>
      <c r="B8" s="564"/>
      <c r="C8" s="522">
        <f>+INDICE!P3</f>
        <v>2022</v>
      </c>
      <c r="D8" s="523"/>
      <c r="E8" s="524">
        <f>+INDICE!P2</f>
        <v>2021</v>
      </c>
      <c r="G8" s="557"/>
      <c r="H8" s="557"/>
      <c r="I8" s="377"/>
      <c r="J8" s="377"/>
    </row>
    <row r="9" spans="1:10" s="562" customFormat="1" x14ac:dyDescent="0.3">
      <c r="A9" s="558"/>
      <c r="B9" s="559"/>
      <c r="C9" s="560" t="s">
        <v>0</v>
      </c>
      <c r="D9" s="561"/>
      <c r="E9" s="412" t="s">
        <v>0</v>
      </c>
      <c r="G9" s="563"/>
      <c r="H9" s="563"/>
      <c r="I9" s="563"/>
    </row>
    <row r="10" spans="1:10" s="525" customFormat="1" x14ac:dyDescent="0.35">
      <c r="A10" s="280"/>
      <c r="B10" s="413"/>
      <c r="C10" s="526"/>
      <c r="D10" s="382"/>
      <c r="E10" s="527"/>
      <c r="G10" s="518"/>
      <c r="H10" s="518"/>
      <c r="I10" s="518"/>
    </row>
    <row r="11" spans="1:10" s="525" customFormat="1" x14ac:dyDescent="0.35">
      <c r="A11" s="280"/>
      <c r="B11" s="417" t="s">
        <v>1</v>
      </c>
      <c r="C11" s="528">
        <f>+'Flujo de Fondos Calculo GS'!C91</f>
        <v>1793373924</v>
      </c>
      <c r="D11" s="529"/>
      <c r="E11" s="530">
        <f>+'4.FLUJO EFECTIVO USD'!E12*6979.36</f>
        <v>0</v>
      </c>
      <c r="G11" s="518"/>
      <c r="H11" s="518"/>
      <c r="I11" s="518"/>
    </row>
    <row r="12" spans="1:10" s="525" customFormat="1" x14ac:dyDescent="0.35">
      <c r="A12" s="280"/>
      <c r="B12" s="413" t="s">
        <v>2</v>
      </c>
      <c r="C12" s="526"/>
      <c r="D12" s="529"/>
      <c r="E12" s="531"/>
      <c r="G12" s="518"/>
      <c r="H12" s="518"/>
      <c r="I12" s="518"/>
    </row>
    <row r="13" spans="1:10" s="525" customFormat="1" x14ac:dyDescent="0.35">
      <c r="A13" s="370"/>
      <c r="B13" s="417" t="s">
        <v>3</v>
      </c>
      <c r="C13" s="532"/>
      <c r="D13" s="533"/>
      <c r="E13" s="534"/>
      <c r="G13" s="518"/>
      <c r="H13" s="535"/>
      <c r="I13" s="518"/>
    </row>
    <row r="14" spans="1:10" s="525" customFormat="1" x14ac:dyDescent="0.35">
      <c r="A14" s="370"/>
      <c r="B14" s="417" t="s">
        <v>4</v>
      </c>
      <c r="C14" s="532"/>
      <c r="D14" s="533"/>
      <c r="E14" s="534"/>
      <c r="G14" s="518"/>
      <c r="H14" s="535"/>
      <c r="I14" s="536"/>
    </row>
    <row r="15" spans="1:10" s="525" customFormat="1" x14ac:dyDescent="0.35">
      <c r="A15" s="280"/>
      <c r="B15" s="413" t="s">
        <v>5</v>
      </c>
      <c r="C15" s="537">
        <f>+'Flujo de Fondos Calculo GS'!B63</f>
        <v>501889582.44499999</v>
      </c>
      <c r="D15" s="533"/>
      <c r="E15" s="424">
        <f>+'4.FLUJO EFECTIVO USD'!E16*6979.36</f>
        <v>0</v>
      </c>
      <c r="G15" s="518"/>
      <c r="H15" s="535"/>
      <c r="I15" s="337"/>
    </row>
    <row r="16" spans="1:10" s="525" customFormat="1" x14ac:dyDescent="0.35">
      <c r="A16" s="280"/>
      <c r="B16" s="413" t="s">
        <v>6</v>
      </c>
      <c r="C16" s="538">
        <v>0</v>
      </c>
      <c r="D16" s="533"/>
      <c r="E16" s="424">
        <v>0</v>
      </c>
      <c r="G16" s="518"/>
      <c r="H16" s="535"/>
      <c r="I16" s="518"/>
    </row>
    <row r="17" spans="1:10" s="525" customFormat="1" x14ac:dyDescent="0.35">
      <c r="A17" s="280"/>
      <c r="B17" s="413" t="s">
        <v>7</v>
      </c>
      <c r="C17" s="537">
        <f>+'Flujo de Fondos Calculo GS'!B67+'Flujo de Fondos Calculo GS'!B65</f>
        <v>-4073384650.1739998</v>
      </c>
      <c r="D17" s="533"/>
      <c r="E17" s="424">
        <f>+'4.FLUJO EFECTIVO USD'!E18*6979.36</f>
        <v>0</v>
      </c>
      <c r="G17" s="518"/>
      <c r="H17" s="518"/>
      <c r="I17" s="518"/>
    </row>
    <row r="18" spans="1:10" s="525" customFormat="1" x14ac:dyDescent="0.35">
      <c r="A18" s="280"/>
      <c r="B18" s="413" t="s">
        <v>8</v>
      </c>
      <c r="C18" s="539">
        <f>+'4.FLUJO EFECTIVO USD'!C19*INDICE!M3</f>
        <v>0</v>
      </c>
      <c r="D18" s="533"/>
      <c r="E18" s="424">
        <v>0</v>
      </c>
      <c r="G18" s="518"/>
      <c r="H18" s="518"/>
      <c r="I18" s="518"/>
    </row>
    <row r="19" spans="1:10" s="525" customFormat="1" x14ac:dyDescent="0.35">
      <c r="A19" s="280"/>
      <c r="B19" s="413" t="s">
        <v>9</v>
      </c>
      <c r="C19" s="540">
        <f>+C15+C16+C17+C18</f>
        <v>-3571495067.7289996</v>
      </c>
      <c r="D19" s="533"/>
      <c r="E19" s="541">
        <f>+E15+E16+E17+E18</f>
        <v>0</v>
      </c>
      <c r="G19" s="518"/>
      <c r="H19" s="518"/>
      <c r="I19" s="518"/>
    </row>
    <row r="20" spans="1:10" s="525" customFormat="1" x14ac:dyDescent="0.35">
      <c r="A20" s="280"/>
      <c r="B20" s="413"/>
      <c r="C20" s="532"/>
      <c r="D20" s="533"/>
      <c r="E20" s="534"/>
      <c r="G20" s="518"/>
      <c r="H20" s="518"/>
      <c r="I20" s="518"/>
    </row>
    <row r="21" spans="1:10" s="525" customFormat="1" x14ac:dyDescent="0.35">
      <c r="A21" s="280"/>
      <c r="B21" s="417" t="s">
        <v>10</v>
      </c>
      <c r="C21" s="532"/>
      <c r="D21" s="533"/>
      <c r="E21" s="542"/>
      <c r="G21" s="518"/>
      <c r="H21" s="518"/>
      <c r="I21" s="518"/>
    </row>
    <row r="22" spans="1:10" s="525" customFormat="1" x14ac:dyDescent="0.35">
      <c r="A22" s="370"/>
      <c r="B22" s="413" t="s">
        <v>11</v>
      </c>
      <c r="C22" s="538">
        <v>0</v>
      </c>
      <c r="D22" s="533"/>
      <c r="E22" s="542">
        <v>0</v>
      </c>
      <c r="G22" s="518"/>
      <c r="H22" s="518"/>
      <c r="I22" s="518"/>
    </row>
    <row r="23" spans="1:10" s="525" customFormat="1" x14ac:dyDescent="0.35">
      <c r="A23" s="370"/>
      <c r="B23" s="413" t="s">
        <v>59</v>
      </c>
      <c r="C23" s="538">
        <v>0</v>
      </c>
      <c r="D23" s="533"/>
      <c r="E23" s="542">
        <v>0</v>
      </c>
      <c r="G23" s="518"/>
      <c r="H23" s="518"/>
      <c r="I23" s="518"/>
    </row>
    <row r="24" spans="1:10" s="525" customFormat="1" x14ac:dyDescent="0.35">
      <c r="A24" s="370"/>
      <c r="B24" s="413" t="s">
        <v>12</v>
      </c>
      <c r="C24" s="538">
        <f>+'Flujo de Fondos Calculo GS'!C80</f>
        <v>-19235532801.426998</v>
      </c>
      <c r="D24" s="533"/>
      <c r="E24" s="542">
        <f>+'4.FLUJO EFECTIVO USD'!E24*6979.36</f>
        <v>0</v>
      </c>
      <c r="G24" s="518"/>
      <c r="H24" s="518"/>
      <c r="I24" s="518"/>
    </row>
    <row r="25" spans="1:10" s="525" customFormat="1" x14ac:dyDescent="0.35">
      <c r="A25" s="280"/>
      <c r="B25" s="413" t="s">
        <v>13</v>
      </c>
      <c r="C25" s="543">
        <f>+'Flujo de Fondos Calculo GS'!C88</f>
        <v>21218014501.169998</v>
      </c>
      <c r="D25" s="533"/>
      <c r="E25" s="544"/>
      <c r="G25" s="518"/>
    </row>
    <row r="26" spans="1:10" s="525" customFormat="1" x14ac:dyDescent="0.35">
      <c r="A26" s="280"/>
      <c r="B26" s="413" t="s">
        <v>14</v>
      </c>
      <c r="C26" s="545">
        <f>+C24+C25+C23</f>
        <v>1982481699.743</v>
      </c>
      <c r="D26" s="533"/>
      <c r="E26" s="544">
        <f>+E24+E25</f>
        <v>0</v>
      </c>
      <c r="G26" s="546"/>
    </row>
    <row r="27" spans="1:10" s="525" customFormat="1" ht="16.2" thickBot="1" x14ac:dyDescent="0.4">
      <c r="A27" s="370"/>
      <c r="B27" s="417" t="s">
        <v>15</v>
      </c>
      <c r="C27" s="547">
        <f>+C19+C26+C11</f>
        <v>204360556.01400042</v>
      </c>
      <c r="D27" s="548"/>
      <c r="E27" s="549">
        <f>+E19+E26+E11</f>
        <v>0</v>
      </c>
      <c r="G27" s="518"/>
      <c r="I27" s="518"/>
      <c r="J27" s="518"/>
    </row>
    <row r="28" spans="1:10" s="525" customFormat="1" ht="16.2" thickTop="1" x14ac:dyDescent="0.35">
      <c r="A28" s="280"/>
      <c r="B28" s="409"/>
      <c r="C28" s="434">
        <f>+C27-'5.BG G'!C12</f>
        <v>-0.44099956750869751</v>
      </c>
      <c r="D28" s="550"/>
      <c r="E28" s="551"/>
      <c r="G28" s="546"/>
      <c r="I28" s="518"/>
    </row>
    <row r="29" spans="1:10" s="525" customFormat="1" x14ac:dyDescent="0.35">
      <c r="A29" s="280"/>
      <c r="B29" s="280"/>
      <c r="C29" s="552">
        <f>+C27-'5.BG G'!C12</f>
        <v>-0.44099956750869751</v>
      </c>
      <c r="D29" s="553"/>
      <c r="E29" s="553"/>
      <c r="G29" s="518"/>
    </row>
    <row r="30" spans="1:10" x14ac:dyDescent="0.35">
      <c r="B30" s="280" t="s">
        <v>159</v>
      </c>
      <c r="D30" s="399"/>
      <c r="E30" s="399"/>
      <c r="G30" s="521"/>
    </row>
    <row r="31" spans="1:10" x14ac:dyDescent="0.35">
      <c r="B31" s="333"/>
      <c r="C31" s="554"/>
      <c r="D31" s="521"/>
      <c r="E31" s="521"/>
      <c r="F31" s="521"/>
      <c r="G31" s="521"/>
      <c r="H31" s="521"/>
      <c r="I31" s="521"/>
    </row>
    <row r="32" spans="1:10" x14ac:dyDescent="0.35">
      <c r="B32" s="367"/>
      <c r="D32" s="399"/>
      <c r="E32" s="399"/>
    </row>
    <row r="33" spans="2:7" x14ac:dyDescent="0.35">
      <c r="B33" s="333"/>
      <c r="D33" s="399"/>
      <c r="E33" s="399"/>
    </row>
    <row r="34" spans="2:7" x14ac:dyDescent="0.35">
      <c r="D34" s="399"/>
      <c r="E34" s="399"/>
    </row>
    <row r="35" spans="2:7" x14ac:dyDescent="0.35">
      <c r="B35" s="382"/>
      <c r="C35" s="677"/>
      <c r="D35" s="677"/>
      <c r="E35" s="677"/>
      <c r="F35" s="677"/>
      <c r="G35" s="677"/>
    </row>
    <row r="36" spans="2:7" x14ac:dyDescent="0.35">
      <c r="B36" s="382"/>
      <c r="C36" s="677"/>
      <c r="D36" s="677"/>
      <c r="E36" s="677"/>
      <c r="F36" s="677"/>
      <c r="G36" s="677"/>
    </row>
    <row r="37" spans="2:7" x14ac:dyDescent="0.35">
      <c r="D37" s="399"/>
      <c r="E37" s="399"/>
    </row>
  </sheetData>
  <mergeCells count="9">
    <mergeCell ref="C36:G36"/>
    <mergeCell ref="B3:E3"/>
    <mergeCell ref="B6:E6"/>
    <mergeCell ref="E2:F2"/>
    <mergeCell ref="G2:H2"/>
    <mergeCell ref="G3:H3"/>
    <mergeCell ref="B4:E4"/>
    <mergeCell ref="C35:G35"/>
    <mergeCell ref="B5:E5"/>
  </mergeCells>
  <pageMargins left="0.25" right="0.25" top="0.75" bottom="0.75" header="0.3" footer="0.3"/>
  <pageSetup paperSize="9" scale="55" fitToHeight="0" orientation="portrait" r:id="rId1"/>
  <ignoredErrors>
    <ignoredError sqref="C18"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17"/>
  <sheetViews>
    <sheetView showGridLines="0" topLeftCell="A5" zoomScaleNormal="100" workbookViewId="0">
      <selection activeCell="A32" sqref="A32"/>
    </sheetView>
  </sheetViews>
  <sheetFormatPr baseColWidth="10" defaultColWidth="11.5546875" defaultRowHeight="15.6" x14ac:dyDescent="0.35"/>
  <cols>
    <col min="1" max="4" width="11.5546875" style="262"/>
    <col min="5" max="5" width="21.5546875" style="262" customWidth="1"/>
    <col min="6" max="6" width="24.109375" style="262" customWidth="1"/>
    <col min="7" max="16384" width="11.5546875" style="262"/>
  </cols>
  <sheetData>
    <row r="2" spans="1:7" ht="15" customHeight="1" x14ac:dyDescent="0.35">
      <c r="A2" s="688" t="s">
        <v>81</v>
      </c>
      <c r="B2" s="688"/>
      <c r="C2" s="688"/>
      <c r="D2" s="688"/>
      <c r="E2" s="688"/>
      <c r="F2" s="688"/>
      <c r="G2" s="688"/>
    </row>
    <row r="3" spans="1:7" x14ac:dyDescent="0.35">
      <c r="B3" s="565"/>
    </row>
    <row r="4" spans="1:7" x14ac:dyDescent="0.35">
      <c r="B4" s="565"/>
    </row>
    <row r="5" spans="1:7" x14ac:dyDescent="0.35">
      <c r="A5" s="565" t="s">
        <v>82</v>
      </c>
      <c r="B5" s="566"/>
      <c r="C5" s="566"/>
    </row>
    <row r="6" spans="1:7" x14ac:dyDescent="0.35">
      <c r="A6" s="567" t="s">
        <v>168</v>
      </c>
      <c r="B6" s="566"/>
      <c r="C6" s="566"/>
    </row>
    <row r="8" spans="1:7" x14ac:dyDescent="0.35">
      <c r="B8" s="565"/>
    </row>
    <row r="9" spans="1:7" x14ac:dyDescent="0.35">
      <c r="B9" s="689" t="s">
        <v>355</v>
      </c>
      <c r="C9" s="689"/>
      <c r="D9" s="689"/>
      <c r="E9" s="689"/>
      <c r="F9" s="689"/>
    </row>
    <row r="10" spans="1:7" x14ac:dyDescent="0.35">
      <c r="B10" s="689"/>
      <c r="C10" s="689"/>
      <c r="D10" s="689"/>
      <c r="E10" s="689"/>
      <c r="F10" s="689"/>
    </row>
    <row r="11" spans="1:7" ht="118.95" customHeight="1" x14ac:dyDescent="0.35">
      <c r="B11" s="689"/>
      <c r="C11" s="689"/>
      <c r="D11" s="689"/>
      <c r="E11" s="689"/>
      <c r="F11" s="689"/>
    </row>
    <row r="12" spans="1:7" x14ac:dyDescent="0.35">
      <c r="B12" s="565" t="s">
        <v>83</v>
      </c>
    </row>
    <row r="13" spans="1:7" x14ac:dyDescent="0.35">
      <c r="B13" s="565"/>
    </row>
    <row r="14" spans="1:7" x14ac:dyDescent="0.35">
      <c r="B14" s="565"/>
    </row>
    <row r="15" spans="1:7" x14ac:dyDescent="0.35">
      <c r="B15" s="565"/>
    </row>
    <row r="16" spans="1:7" x14ac:dyDescent="0.35">
      <c r="B16" s="567" t="s">
        <v>84</v>
      </c>
    </row>
    <row r="17" spans="2:2" x14ac:dyDescent="0.35">
      <c r="B17" s="565" t="s">
        <v>85</v>
      </c>
    </row>
  </sheetData>
  <mergeCells count="2">
    <mergeCell ref="A2:G2"/>
    <mergeCell ref="B9:F11"/>
  </mergeCells>
  <pageMargins left="1" right="1" top="1" bottom="1" header="0.5" footer="0.5"/>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H177"/>
  <sheetViews>
    <sheetView showGridLines="0" topLeftCell="A70" zoomScale="85" zoomScaleNormal="85" workbookViewId="0">
      <selection activeCell="F80" sqref="F80"/>
    </sheetView>
  </sheetViews>
  <sheetFormatPr baseColWidth="10" defaultColWidth="11.5546875" defaultRowHeight="15.6" x14ac:dyDescent="0.35"/>
  <cols>
    <col min="1" max="1" width="43.33203125" style="262" customWidth="1"/>
    <col min="2" max="2" width="34.6640625" style="262" customWidth="1"/>
    <col min="3" max="3" width="17" style="262" customWidth="1"/>
    <col min="4" max="4" width="15" style="262" bestFit="1" customWidth="1"/>
    <col min="5" max="5" width="19.44140625" style="262" customWidth="1"/>
    <col min="6" max="6" width="23" style="262" bestFit="1" customWidth="1"/>
    <col min="7" max="7" width="16.33203125" style="262" customWidth="1"/>
    <col min="8" max="16384" width="11.5546875" style="262"/>
  </cols>
  <sheetData>
    <row r="2" spans="1:7" x14ac:dyDescent="0.35">
      <c r="A2" s="688" t="s">
        <v>75</v>
      </c>
      <c r="B2" s="688"/>
      <c r="C2" s="688"/>
      <c r="D2" s="688"/>
      <c r="E2" s="688"/>
      <c r="F2" s="688"/>
      <c r="G2" s="688"/>
    </row>
    <row r="3" spans="1:7" x14ac:dyDescent="0.35">
      <c r="A3" s="688" t="s">
        <v>169</v>
      </c>
      <c r="B3" s="688"/>
      <c r="C3" s="688"/>
      <c r="D3" s="688"/>
      <c r="E3" s="688"/>
      <c r="F3" s="688"/>
      <c r="G3" s="688"/>
    </row>
    <row r="4" spans="1:7" x14ac:dyDescent="0.35">
      <c r="A4" s="569"/>
      <c r="B4" s="569"/>
      <c r="C4" s="569"/>
      <c r="D4" s="569"/>
      <c r="E4" s="569"/>
      <c r="F4" s="569"/>
      <c r="G4" s="569"/>
    </row>
    <row r="5" spans="1:7" x14ac:dyDescent="0.35">
      <c r="A5" s="695" t="s">
        <v>319</v>
      </c>
      <c r="B5" s="695"/>
      <c r="C5" s="695"/>
      <c r="D5" s="695"/>
      <c r="E5" s="695"/>
      <c r="F5" s="695"/>
      <c r="G5" s="695"/>
    </row>
    <row r="6" spans="1:7" x14ac:dyDescent="0.35">
      <c r="A6" s="689" t="s">
        <v>320</v>
      </c>
      <c r="B6" s="689"/>
      <c r="C6" s="689"/>
      <c r="D6" s="689"/>
      <c r="E6" s="689"/>
      <c r="F6" s="689"/>
      <c r="G6" s="689"/>
    </row>
    <row r="7" spans="1:7" ht="45" customHeight="1" x14ac:dyDescent="0.35">
      <c r="A7" s="689" t="s">
        <v>170</v>
      </c>
      <c r="B7" s="689"/>
      <c r="C7" s="689"/>
      <c r="D7" s="689"/>
      <c r="E7" s="689"/>
      <c r="F7" s="689"/>
      <c r="G7" s="689"/>
    </row>
    <row r="8" spans="1:7" x14ac:dyDescent="0.35">
      <c r="A8" s="689" t="s">
        <v>171</v>
      </c>
      <c r="B8" s="689"/>
      <c r="C8" s="689"/>
      <c r="D8" s="689"/>
      <c r="E8" s="689"/>
      <c r="F8" s="689"/>
      <c r="G8" s="689"/>
    </row>
    <row r="9" spans="1:7" ht="100.95" customHeight="1" x14ac:dyDescent="0.35">
      <c r="A9" s="689" t="s">
        <v>172</v>
      </c>
      <c r="B9" s="689"/>
      <c r="C9" s="689"/>
      <c r="D9" s="689"/>
      <c r="E9" s="689"/>
      <c r="F9" s="689"/>
      <c r="G9" s="689"/>
    </row>
    <row r="10" spans="1:7" ht="128.4" customHeight="1" x14ac:dyDescent="0.35">
      <c r="A10" s="689"/>
      <c r="B10" s="689"/>
      <c r="C10" s="689"/>
      <c r="D10" s="689"/>
      <c r="E10" s="689"/>
      <c r="F10" s="689"/>
      <c r="G10" s="689"/>
    </row>
    <row r="11" spans="1:7" x14ac:dyDescent="0.35">
      <c r="A11" s="570"/>
      <c r="B11" s="570"/>
      <c r="C11" s="570"/>
      <c r="D11" s="570"/>
      <c r="E11" s="570"/>
      <c r="F11" s="570"/>
      <c r="G11" s="570"/>
    </row>
    <row r="12" spans="1:7" x14ac:dyDescent="0.35">
      <c r="A12" s="695" t="s">
        <v>86</v>
      </c>
      <c r="B12" s="695"/>
      <c r="C12" s="695"/>
      <c r="D12" s="695"/>
      <c r="E12" s="695"/>
      <c r="F12" s="695"/>
      <c r="G12" s="695"/>
    </row>
    <row r="13" spans="1:7" ht="36" customHeight="1" x14ac:dyDescent="0.35">
      <c r="A13" s="689" t="s">
        <v>204</v>
      </c>
      <c r="B13" s="689"/>
      <c r="C13" s="689"/>
      <c r="D13" s="689"/>
      <c r="E13" s="689"/>
      <c r="F13" s="689"/>
      <c r="G13" s="689"/>
    </row>
    <row r="14" spans="1:7" x14ac:dyDescent="0.35">
      <c r="A14" s="570"/>
      <c r="B14" s="570"/>
      <c r="C14" s="570"/>
      <c r="D14" s="570"/>
      <c r="E14" s="570"/>
      <c r="F14" s="570"/>
      <c r="G14" s="570"/>
    </row>
    <row r="15" spans="1:7" ht="15" customHeight="1" x14ac:dyDescent="0.35">
      <c r="A15" s="689" t="s">
        <v>321</v>
      </c>
      <c r="B15" s="689"/>
      <c r="C15" s="689"/>
      <c r="D15" s="689"/>
      <c r="E15" s="689"/>
      <c r="F15" s="689"/>
      <c r="G15" s="689"/>
    </row>
    <row r="16" spans="1:7" ht="15" customHeight="1" x14ac:dyDescent="0.35">
      <c r="A16" s="570"/>
      <c r="B16" s="570"/>
      <c r="C16" s="570"/>
      <c r="D16" s="570"/>
      <c r="E16" s="570"/>
      <c r="F16" s="570"/>
      <c r="G16" s="570"/>
    </row>
    <row r="17" spans="1:7" x14ac:dyDescent="0.35">
      <c r="A17" s="689" t="s">
        <v>322</v>
      </c>
      <c r="B17" s="689"/>
      <c r="C17" s="689"/>
      <c r="D17" s="689"/>
      <c r="E17" s="689"/>
      <c r="F17" s="689"/>
      <c r="G17" s="689"/>
    </row>
    <row r="18" spans="1:7" x14ac:dyDescent="0.35">
      <c r="A18" s="570"/>
      <c r="B18" s="570"/>
      <c r="C18" s="570"/>
      <c r="D18" s="570"/>
      <c r="E18" s="570"/>
      <c r="F18" s="570"/>
      <c r="G18" s="570"/>
    </row>
    <row r="19" spans="1:7" ht="45" customHeight="1" x14ac:dyDescent="0.35">
      <c r="A19" s="689" t="s">
        <v>323</v>
      </c>
      <c r="B19" s="689"/>
      <c r="C19" s="689"/>
      <c r="D19" s="689"/>
      <c r="E19" s="689"/>
      <c r="F19" s="689"/>
      <c r="G19" s="689"/>
    </row>
    <row r="20" spans="1:7" x14ac:dyDescent="0.35">
      <c r="A20" s="570"/>
      <c r="B20" s="570"/>
      <c r="C20" s="570"/>
      <c r="D20" s="570"/>
      <c r="E20" s="570"/>
      <c r="F20" s="570"/>
      <c r="G20" s="570"/>
    </row>
    <row r="21" spans="1:7" x14ac:dyDescent="0.35">
      <c r="A21" s="689" t="s">
        <v>324</v>
      </c>
      <c r="B21" s="689"/>
      <c r="C21" s="689"/>
      <c r="D21" s="689"/>
      <c r="E21" s="689"/>
      <c r="F21" s="689"/>
      <c r="G21" s="689"/>
    </row>
    <row r="22" spans="1:7" x14ac:dyDescent="0.35">
      <c r="A22" s="570"/>
      <c r="B22" s="570"/>
      <c r="C22" s="570"/>
      <c r="D22" s="570"/>
      <c r="E22" s="570"/>
      <c r="F22" s="570"/>
      <c r="G22" s="570"/>
    </row>
    <row r="23" spans="1:7" x14ac:dyDescent="0.35">
      <c r="A23" s="689" t="s">
        <v>325</v>
      </c>
      <c r="B23" s="689"/>
      <c r="C23" s="689"/>
      <c r="D23" s="689"/>
      <c r="E23" s="689"/>
      <c r="F23" s="689"/>
      <c r="G23" s="689"/>
    </row>
    <row r="24" spans="1:7" x14ac:dyDescent="0.35">
      <c r="A24" s="570"/>
      <c r="B24" s="570"/>
      <c r="C24" s="570"/>
      <c r="D24" s="570"/>
      <c r="E24" s="570"/>
      <c r="F24" s="570"/>
      <c r="G24" s="570"/>
    </row>
    <row r="25" spans="1:7" ht="54" customHeight="1" x14ac:dyDescent="0.35">
      <c r="A25" s="689" t="s">
        <v>326</v>
      </c>
      <c r="B25" s="689"/>
      <c r="C25" s="689"/>
      <c r="D25" s="689"/>
      <c r="E25" s="689"/>
      <c r="F25" s="689"/>
      <c r="G25" s="689"/>
    </row>
    <row r="26" spans="1:7" x14ac:dyDescent="0.35">
      <c r="A26" s="570"/>
      <c r="B26" s="570"/>
      <c r="C26" s="570"/>
      <c r="D26" s="570"/>
      <c r="E26" s="570"/>
      <c r="F26" s="570"/>
      <c r="G26" s="570"/>
    </row>
    <row r="27" spans="1:7" ht="29.25" customHeight="1" x14ac:dyDescent="0.35">
      <c r="A27" s="689" t="s">
        <v>327</v>
      </c>
      <c r="B27" s="689"/>
      <c r="C27" s="689"/>
      <c r="D27" s="689"/>
      <c r="E27" s="689"/>
      <c r="F27" s="689"/>
      <c r="G27" s="689"/>
    </row>
    <row r="28" spans="1:7" ht="29.25" customHeight="1" x14ac:dyDescent="0.35">
      <c r="A28" s="570"/>
      <c r="B28" s="570"/>
      <c r="C28" s="570"/>
      <c r="D28" s="570"/>
      <c r="E28" s="570"/>
      <c r="F28" s="570"/>
      <c r="G28" s="570"/>
    </row>
    <row r="29" spans="1:7" ht="33.6" customHeight="1" x14ac:dyDescent="0.35">
      <c r="A29" s="689" t="s">
        <v>328</v>
      </c>
      <c r="B29" s="689"/>
      <c r="C29" s="689"/>
      <c r="D29" s="689"/>
      <c r="E29" s="689"/>
      <c r="F29" s="689"/>
      <c r="G29" s="689"/>
    </row>
    <row r="30" spans="1:7" x14ac:dyDescent="0.35">
      <c r="A30" s="570"/>
      <c r="B30" s="570"/>
      <c r="C30" s="570"/>
      <c r="D30" s="570"/>
      <c r="E30" s="570"/>
      <c r="F30" s="570"/>
      <c r="G30" s="570"/>
    </row>
    <row r="31" spans="1:7" x14ac:dyDescent="0.35">
      <c r="A31" s="689" t="s">
        <v>329</v>
      </c>
      <c r="B31" s="689"/>
      <c r="C31" s="689"/>
      <c r="D31" s="689"/>
      <c r="E31" s="689"/>
      <c r="F31" s="689"/>
      <c r="G31" s="689"/>
    </row>
    <row r="32" spans="1:7" x14ac:dyDescent="0.35">
      <c r="A32" s="570"/>
      <c r="B32" s="570"/>
      <c r="C32" s="570"/>
      <c r="D32" s="570"/>
      <c r="E32" s="570"/>
      <c r="F32" s="570"/>
      <c r="G32" s="570"/>
    </row>
    <row r="33" spans="1:7" x14ac:dyDescent="0.35">
      <c r="A33" s="696" t="s">
        <v>87</v>
      </c>
      <c r="B33" s="697"/>
      <c r="C33" s="697"/>
      <c r="D33" s="697"/>
      <c r="E33" s="697"/>
      <c r="F33" s="697"/>
      <c r="G33" s="697"/>
    </row>
    <row r="34" spans="1:7" ht="15" customHeight="1" x14ac:dyDescent="0.35">
      <c r="A34" s="571"/>
      <c r="B34" s="570"/>
      <c r="C34" s="570"/>
      <c r="D34" s="570"/>
      <c r="E34" s="570"/>
      <c r="F34" s="570"/>
      <c r="G34" s="570"/>
    </row>
    <row r="35" spans="1:7" ht="31.95" customHeight="1" x14ac:dyDescent="0.35">
      <c r="A35" s="689" t="s">
        <v>330</v>
      </c>
      <c r="B35" s="689"/>
      <c r="C35" s="689"/>
      <c r="D35" s="689"/>
      <c r="E35" s="689"/>
      <c r="F35" s="689"/>
      <c r="G35" s="689"/>
    </row>
    <row r="36" spans="1:7" x14ac:dyDescent="0.35">
      <c r="A36" s="570"/>
      <c r="B36" s="570"/>
      <c r="C36" s="570"/>
      <c r="D36" s="570"/>
      <c r="E36" s="570"/>
      <c r="F36" s="570"/>
      <c r="G36" s="570"/>
    </row>
    <row r="37" spans="1:7" x14ac:dyDescent="0.35">
      <c r="A37" s="689" t="s">
        <v>331</v>
      </c>
      <c r="B37" s="689"/>
      <c r="C37" s="689"/>
      <c r="D37" s="689"/>
      <c r="E37" s="689"/>
      <c r="F37" s="689"/>
      <c r="G37" s="689"/>
    </row>
    <row r="38" spans="1:7" x14ac:dyDescent="0.35">
      <c r="A38" s="570"/>
      <c r="B38" s="570"/>
      <c r="C38" s="570"/>
      <c r="D38" s="570"/>
      <c r="E38" s="570"/>
      <c r="F38" s="570"/>
      <c r="G38" s="570"/>
    </row>
    <row r="39" spans="1:7" ht="34.200000000000003" customHeight="1" x14ac:dyDescent="0.35">
      <c r="A39" s="689" t="s">
        <v>332</v>
      </c>
      <c r="B39" s="689"/>
      <c r="C39" s="689"/>
      <c r="D39" s="689"/>
      <c r="E39" s="689"/>
      <c r="F39" s="689"/>
      <c r="G39" s="689"/>
    </row>
    <row r="40" spans="1:7" x14ac:dyDescent="0.35">
      <c r="A40" s="570"/>
      <c r="B40" s="570"/>
      <c r="C40" s="570"/>
      <c r="D40" s="570"/>
      <c r="E40" s="570"/>
      <c r="F40" s="570"/>
      <c r="G40" s="570"/>
    </row>
    <row r="41" spans="1:7" ht="34.950000000000003" customHeight="1" x14ac:dyDescent="0.35">
      <c r="A41" s="689" t="s">
        <v>333</v>
      </c>
      <c r="B41" s="689"/>
      <c r="C41" s="689"/>
      <c r="D41" s="689"/>
      <c r="E41" s="689"/>
      <c r="F41" s="689"/>
      <c r="G41" s="689"/>
    </row>
    <row r="42" spans="1:7" x14ac:dyDescent="0.35">
      <c r="A42" s="565"/>
      <c r="B42" s="566"/>
      <c r="C42" s="566"/>
      <c r="D42" s="566"/>
      <c r="E42" s="566"/>
    </row>
    <row r="43" spans="1:7" x14ac:dyDescent="0.35">
      <c r="A43" s="688" t="s">
        <v>88</v>
      </c>
      <c r="B43" s="688"/>
      <c r="C43" s="688"/>
      <c r="D43" s="688"/>
      <c r="E43" s="688"/>
      <c r="F43" s="688"/>
      <c r="G43" s="688"/>
    </row>
    <row r="44" spans="1:7" ht="67.95" customHeight="1" x14ac:dyDescent="0.35">
      <c r="A44" s="689" t="s">
        <v>173</v>
      </c>
      <c r="B44" s="689"/>
      <c r="C44" s="689"/>
      <c r="D44" s="689"/>
      <c r="E44" s="689"/>
      <c r="F44" s="689"/>
      <c r="G44" s="689"/>
    </row>
    <row r="45" spans="1:7" ht="24.6" customHeight="1" x14ac:dyDescent="0.35">
      <c r="A45" s="689"/>
      <c r="B45" s="689"/>
      <c r="C45" s="689"/>
      <c r="D45" s="689"/>
      <c r="E45" s="689"/>
      <c r="F45" s="689"/>
      <c r="G45" s="689"/>
    </row>
    <row r="46" spans="1:7" ht="15.75" customHeight="1" x14ac:dyDescent="0.35">
      <c r="A46" s="689" t="s">
        <v>334</v>
      </c>
      <c r="B46" s="689"/>
      <c r="C46" s="689"/>
      <c r="D46" s="689"/>
      <c r="E46" s="689"/>
      <c r="F46" s="689"/>
      <c r="G46" s="689"/>
    </row>
    <row r="47" spans="1:7" ht="13.5" customHeight="1" x14ac:dyDescent="0.35">
      <c r="A47" s="689"/>
      <c r="B47" s="689"/>
      <c r="C47" s="689"/>
      <c r="D47" s="689"/>
      <c r="E47" s="689"/>
      <c r="F47" s="689"/>
      <c r="G47" s="689"/>
    </row>
    <row r="48" spans="1:7" ht="13.5" customHeight="1" x14ac:dyDescent="0.35">
      <c r="A48" s="689" t="s">
        <v>335</v>
      </c>
      <c r="B48" s="689"/>
      <c r="C48" s="689"/>
      <c r="D48" s="689"/>
      <c r="E48" s="689"/>
      <c r="F48" s="689"/>
      <c r="G48" s="689"/>
    </row>
    <row r="49" spans="1:7" x14ac:dyDescent="0.35">
      <c r="A49" s="689"/>
      <c r="B49" s="689"/>
      <c r="C49" s="689"/>
      <c r="D49" s="689"/>
      <c r="E49" s="689"/>
      <c r="F49" s="689"/>
      <c r="G49" s="689"/>
    </row>
    <row r="50" spans="1:7" x14ac:dyDescent="0.35">
      <c r="A50" s="688" t="s">
        <v>89</v>
      </c>
      <c r="B50" s="688"/>
      <c r="C50" s="688"/>
      <c r="D50" s="688"/>
      <c r="E50" s="688"/>
      <c r="F50" s="688"/>
      <c r="G50" s="688"/>
    </row>
    <row r="51" spans="1:7" ht="15" customHeight="1" x14ac:dyDescent="0.35">
      <c r="A51" s="689"/>
      <c r="B51" s="689"/>
      <c r="C51" s="689"/>
      <c r="D51" s="689"/>
      <c r="E51" s="689"/>
      <c r="F51" s="689"/>
      <c r="G51" s="689"/>
    </row>
    <row r="52" spans="1:7" x14ac:dyDescent="0.35">
      <c r="A52" s="689"/>
      <c r="B52" s="689"/>
      <c r="C52" s="689"/>
      <c r="D52" s="689"/>
      <c r="E52" s="689"/>
      <c r="F52" s="689"/>
      <c r="G52" s="689"/>
    </row>
    <row r="53" spans="1:7" x14ac:dyDescent="0.35">
      <c r="A53" s="689"/>
      <c r="B53" s="689"/>
      <c r="C53" s="689"/>
      <c r="D53" s="689"/>
      <c r="E53" s="689"/>
      <c r="F53" s="689"/>
      <c r="G53" s="689"/>
    </row>
    <row r="54" spans="1:7" x14ac:dyDescent="0.35">
      <c r="A54" s="690" t="s">
        <v>90</v>
      </c>
      <c r="B54" s="690"/>
      <c r="C54" s="690"/>
      <c r="D54" s="690"/>
      <c r="E54" s="690"/>
      <c r="F54" s="690"/>
      <c r="G54" s="690"/>
    </row>
    <row r="55" spans="1:7" ht="31.2" customHeight="1" x14ac:dyDescent="0.35">
      <c r="A55" s="689" t="s">
        <v>356</v>
      </c>
      <c r="B55" s="689"/>
      <c r="C55" s="689"/>
      <c r="D55" s="689"/>
      <c r="E55" s="689"/>
      <c r="F55" s="689"/>
      <c r="G55" s="689"/>
    </row>
    <row r="56" spans="1:7" ht="36" customHeight="1" x14ac:dyDescent="0.35">
      <c r="A56" s="689"/>
      <c r="B56" s="689"/>
      <c r="C56" s="689"/>
      <c r="D56" s="689"/>
      <c r="E56" s="689"/>
      <c r="F56" s="689"/>
      <c r="G56" s="689"/>
    </row>
    <row r="57" spans="1:7" ht="36" customHeight="1" x14ac:dyDescent="0.35">
      <c r="A57" s="570"/>
      <c r="B57" s="570"/>
      <c r="C57" s="570"/>
      <c r="D57" s="570"/>
      <c r="E57" s="570"/>
      <c r="F57" s="570"/>
      <c r="G57" s="570"/>
    </row>
    <row r="58" spans="1:7" x14ac:dyDescent="0.35">
      <c r="A58" s="690" t="s">
        <v>91</v>
      </c>
      <c r="B58" s="690"/>
      <c r="C58" s="690"/>
      <c r="D58" s="690"/>
      <c r="E58" s="690"/>
      <c r="F58" s="690"/>
      <c r="G58" s="690"/>
    </row>
    <row r="59" spans="1:7" x14ac:dyDescent="0.35">
      <c r="A59" s="689" t="s">
        <v>185</v>
      </c>
      <c r="B59" s="689"/>
      <c r="C59" s="689"/>
      <c r="D59" s="689"/>
      <c r="E59" s="689"/>
      <c r="F59" s="689"/>
      <c r="G59" s="689"/>
    </row>
    <row r="60" spans="1:7" x14ac:dyDescent="0.35">
      <c r="A60" s="570"/>
      <c r="B60" s="570"/>
      <c r="C60" s="570"/>
      <c r="D60" s="570"/>
      <c r="E60" s="570"/>
      <c r="F60" s="570"/>
      <c r="G60" s="570"/>
    </row>
    <row r="61" spans="1:7" x14ac:dyDescent="0.35">
      <c r="A61" s="695" t="s">
        <v>92</v>
      </c>
      <c r="B61" s="695"/>
      <c r="C61" s="695"/>
      <c r="D61" s="695"/>
      <c r="E61" s="695"/>
      <c r="F61" s="695"/>
      <c r="G61" s="695"/>
    </row>
    <row r="62" spans="1:7" ht="20.25" customHeight="1" x14ac:dyDescent="0.35">
      <c r="A62" s="689" t="s">
        <v>188</v>
      </c>
      <c r="B62" s="689"/>
      <c r="C62" s="689"/>
      <c r="D62" s="689"/>
      <c r="E62" s="689"/>
      <c r="F62" s="689"/>
      <c r="G62" s="689"/>
    </row>
    <row r="63" spans="1:7" ht="23.25" customHeight="1" x14ac:dyDescent="0.35">
      <c r="A63" s="689"/>
      <c r="B63" s="689"/>
      <c r="C63" s="689"/>
      <c r="D63" s="689"/>
      <c r="E63" s="689"/>
      <c r="F63" s="689"/>
      <c r="G63" s="689"/>
    </row>
    <row r="64" spans="1:7" x14ac:dyDescent="0.35">
      <c r="A64" s="690" t="s">
        <v>93</v>
      </c>
      <c r="B64" s="690"/>
      <c r="C64" s="690"/>
      <c r="D64" s="690"/>
      <c r="E64" s="690"/>
      <c r="F64" s="690"/>
      <c r="G64" s="690"/>
    </row>
    <row r="65" spans="1:7" ht="15.75" customHeight="1" x14ac:dyDescent="0.35">
      <c r="A65" s="689" t="s">
        <v>336</v>
      </c>
      <c r="B65" s="689"/>
      <c r="C65" s="689"/>
      <c r="D65" s="689"/>
      <c r="E65" s="689"/>
      <c r="F65" s="689"/>
      <c r="G65" s="689"/>
    </row>
    <row r="66" spans="1:7" x14ac:dyDescent="0.35">
      <c r="A66" s="689"/>
      <c r="B66" s="689"/>
      <c r="C66" s="689"/>
      <c r="D66" s="689"/>
      <c r="E66" s="689"/>
      <c r="F66" s="689"/>
      <c r="G66" s="689"/>
    </row>
    <row r="67" spans="1:7" x14ac:dyDescent="0.35">
      <c r="A67" s="570"/>
      <c r="B67" s="570"/>
      <c r="C67" s="570"/>
      <c r="D67" s="570"/>
      <c r="E67" s="570"/>
      <c r="F67" s="570"/>
      <c r="G67" s="570"/>
    </row>
    <row r="68" spans="1:7" x14ac:dyDescent="0.35">
      <c r="A68" s="695" t="s">
        <v>94</v>
      </c>
      <c r="B68" s="695"/>
      <c r="C68" s="695"/>
      <c r="D68" s="695"/>
      <c r="E68" s="695"/>
      <c r="F68" s="695"/>
      <c r="G68" s="695"/>
    </row>
    <row r="69" spans="1:7" ht="17.25" customHeight="1" x14ac:dyDescent="0.35">
      <c r="A69" s="689" t="s">
        <v>174</v>
      </c>
      <c r="B69" s="689"/>
      <c r="C69" s="689"/>
      <c r="D69" s="689"/>
      <c r="E69" s="689"/>
      <c r="F69" s="689"/>
      <c r="G69" s="689"/>
    </row>
    <row r="70" spans="1:7" ht="16.5" customHeight="1" x14ac:dyDescent="0.35">
      <c r="A70" s="689"/>
      <c r="B70" s="689"/>
      <c r="C70" s="689"/>
      <c r="D70" s="689"/>
      <c r="E70" s="689"/>
      <c r="F70" s="689"/>
      <c r="G70" s="689"/>
    </row>
    <row r="71" spans="1:7" x14ac:dyDescent="0.35">
      <c r="A71" s="689" t="s">
        <v>357</v>
      </c>
      <c r="B71" s="690"/>
      <c r="C71" s="690"/>
      <c r="D71" s="690"/>
      <c r="E71" s="690"/>
      <c r="F71" s="690"/>
      <c r="G71" s="690"/>
    </row>
    <row r="72" spans="1:7" x14ac:dyDescent="0.35">
      <c r="A72" s="570"/>
      <c r="B72" s="571"/>
      <c r="C72" s="571"/>
      <c r="D72" s="571"/>
      <c r="E72" s="571"/>
      <c r="F72" s="571"/>
      <c r="G72" s="571"/>
    </row>
    <row r="73" spans="1:7" x14ac:dyDescent="0.35">
      <c r="A73" s="689" t="s">
        <v>337</v>
      </c>
      <c r="B73" s="689"/>
      <c r="C73" s="689"/>
      <c r="D73" s="689"/>
      <c r="E73" s="689"/>
      <c r="F73" s="689"/>
      <c r="G73" s="689"/>
    </row>
    <row r="74" spans="1:7" x14ac:dyDescent="0.35">
      <c r="A74" s="570"/>
      <c r="B74" s="570"/>
      <c r="C74" s="570"/>
      <c r="D74" s="570"/>
      <c r="E74" s="570"/>
      <c r="F74" s="570"/>
      <c r="G74" s="570"/>
    </row>
    <row r="75" spans="1:7" ht="47.4" customHeight="1" x14ac:dyDescent="0.35">
      <c r="A75" s="689" t="s">
        <v>338</v>
      </c>
      <c r="B75" s="689"/>
      <c r="C75" s="689"/>
      <c r="D75" s="689"/>
      <c r="E75" s="689"/>
      <c r="F75" s="689"/>
      <c r="G75" s="689"/>
    </row>
    <row r="76" spans="1:7" ht="47.4" customHeight="1" x14ac:dyDescent="0.35">
      <c r="A76" s="689" t="s">
        <v>339</v>
      </c>
      <c r="B76" s="689"/>
      <c r="C76" s="689"/>
      <c r="D76" s="689"/>
      <c r="E76" s="689"/>
      <c r="F76" s="689"/>
      <c r="G76" s="689"/>
    </row>
    <row r="77" spans="1:7" s="689" customFormat="1" x14ac:dyDescent="0.3">
      <c r="A77" s="689" t="s">
        <v>340</v>
      </c>
    </row>
    <row r="78" spans="1:7" ht="30.75" customHeight="1" x14ac:dyDescent="0.35">
      <c r="A78" s="690" t="s">
        <v>341</v>
      </c>
      <c r="B78" s="690"/>
      <c r="C78" s="690"/>
      <c r="D78" s="690"/>
      <c r="E78" s="690"/>
      <c r="F78" s="690"/>
      <c r="G78" s="690"/>
    </row>
    <row r="79" spans="1:7" x14ac:dyDescent="0.35">
      <c r="A79" s="567"/>
      <c r="B79" s="566"/>
      <c r="C79" s="566"/>
      <c r="D79" s="566"/>
      <c r="E79" s="566"/>
    </row>
    <row r="80" spans="1:7" ht="31.2" x14ac:dyDescent="0.35">
      <c r="B80" s="572"/>
      <c r="C80" s="573" t="s">
        <v>95</v>
      </c>
      <c r="D80" s="573" t="s">
        <v>96</v>
      </c>
    </row>
    <row r="81" spans="1:7" x14ac:dyDescent="0.35">
      <c r="B81" s="574" t="s">
        <v>97</v>
      </c>
      <c r="C81" s="575">
        <f>+INDICE!M2</f>
        <v>6837.9</v>
      </c>
      <c r="D81" s="575">
        <v>6921.52</v>
      </c>
    </row>
    <row r="82" spans="1:7" x14ac:dyDescent="0.35">
      <c r="B82" s="574" t="s">
        <v>98</v>
      </c>
      <c r="C82" s="575">
        <f>+INDICE!M3</f>
        <v>6850.05</v>
      </c>
      <c r="D82" s="575">
        <v>6931.47</v>
      </c>
    </row>
    <row r="83" spans="1:7" x14ac:dyDescent="0.35">
      <c r="A83" s="567"/>
      <c r="B83" s="566"/>
      <c r="C83" s="566"/>
      <c r="D83" s="566"/>
    </row>
    <row r="84" spans="1:7" x14ac:dyDescent="0.35">
      <c r="A84" s="567"/>
      <c r="B84" s="566"/>
      <c r="C84" s="566"/>
      <c r="D84" s="566"/>
      <c r="E84" s="566"/>
    </row>
    <row r="85" spans="1:7" x14ac:dyDescent="0.35">
      <c r="A85" s="567" t="s">
        <v>99</v>
      </c>
      <c r="B85" s="566"/>
      <c r="C85" s="566"/>
      <c r="D85" s="566"/>
      <c r="E85" s="566"/>
    </row>
    <row r="86" spans="1:7" x14ac:dyDescent="0.35">
      <c r="A86" s="567"/>
      <c r="B86" s="566"/>
      <c r="C86" s="566"/>
      <c r="D86" s="566"/>
      <c r="E86" s="566"/>
    </row>
    <row r="87" spans="1:7" ht="46.8" x14ac:dyDescent="0.35">
      <c r="A87" s="573" t="s">
        <v>100</v>
      </c>
      <c r="B87" s="573" t="s">
        <v>101</v>
      </c>
      <c r="C87" s="573" t="s">
        <v>102</v>
      </c>
      <c r="D87" s="573" t="s">
        <v>103</v>
      </c>
      <c r="E87" s="573" t="s">
        <v>104</v>
      </c>
    </row>
    <row r="88" spans="1:7" x14ac:dyDescent="0.35">
      <c r="A88" s="574" t="s">
        <v>105</v>
      </c>
      <c r="B88" s="576" t="s">
        <v>77</v>
      </c>
      <c r="C88" s="577">
        <v>965098.88</v>
      </c>
      <c r="D88" s="575">
        <f>+C81</f>
        <v>6837.9</v>
      </c>
      <c r="E88" s="578">
        <f>+C88*D88</f>
        <v>6599249631.552</v>
      </c>
    </row>
    <row r="89" spans="1:7" x14ac:dyDescent="0.35">
      <c r="A89" s="574" t="s">
        <v>106</v>
      </c>
      <c r="B89" s="576" t="s">
        <v>77</v>
      </c>
      <c r="C89" s="579">
        <v>52132.58</v>
      </c>
      <c r="D89" s="575">
        <f>+C82</f>
        <v>6850.05</v>
      </c>
      <c r="E89" s="578">
        <f>+C89*D89</f>
        <v>357110779.62900001</v>
      </c>
      <c r="G89" s="580"/>
    </row>
    <row r="90" spans="1:7" x14ac:dyDescent="0.35">
      <c r="A90" s="567"/>
      <c r="B90" s="566"/>
      <c r="C90" s="566"/>
      <c r="D90" s="566"/>
      <c r="E90" s="566"/>
    </row>
    <row r="92" spans="1:7" x14ac:dyDescent="0.35">
      <c r="A92" s="695" t="s">
        <v>189</v>
      </c>
      <c r="B92" s="695"/>
      <c r="C92" s="695"/>
      <c r="D92" s="695"/>
      <c r="E92" s="695"/>
      <c r="F92" s="695"/>
    </row>
    <row r="93" spans="1:7" ht="24" customHeight="1" x14ac:dyDescent="0.35">
      <c r="A93" s="691" t="s">
        <v>211</v>
      </c>
      <c r="B93" s="691"/>
      <c r="C93" s="691"/>
      <c r="D93" s="691"/>
      <c r="E93" s="691"/>
      <c r="F93" s="691"/>
    </row>
    <row r="94" spans="1:7" ht="30.75" customHeight="1" x14ac:dyDescent="0.35">
      <c r="A94" s="691"/>
      <c r="B94" s="691"/>
      <c r="C94" s="691"/>
      <c r="D94" s="691"/>
      <c r="E94" s="691"/>
      <c r="F94" s="691"/>
    </row>
    <row r="95" spans="1:7" ht="22.5" customHeight="1" x14ac:dyDescent="0.35">
      <c r="A95" s="691"/>
      <c r="B95" s="691"/>
      <c r="C95" s="691"/>
      <c r="D95" s="691"/>
      <c r="E95" s="691"/>
      <c r="F95" s="691"/>
    </row>
    <row r="96" spans="1:7" x14ac:dyDescent="0.35">
      <c r="A96" s="690" t="s">
        <v>190</v>
      </c>
      <c r="B96" s="690"/>
      <c r="C96" s="690"/>
      <c r="D96" s="690"/>
      <c r="E96" s="690"/>
      <c r="F96" s="690"/>
    </row>
    <row r="97" spans="1:8" x14ac:dyDescent="0.35">
      <c r="A97" s="567"/>
      <c r="B97" s="566"/>
      <c r="C97" s="566"/>
      <c r="D97" s="566"/>
      <c r="E97" s="566"/>
    </row>
    <row r="98" spans="1:8" ht="23.25" customHeight="1" x14ac:dyDescent="0.35">
      <c r="A98" s="691" t="s">
        <v>342</v>
      </c>
      <c r="B98" s="691"/>
      <c r="C98" s="691"/>
      <c r="D98" s="691"/>
      <c r="E98" s="691"/>
      <c r="F98" s="691"/>
    </row>
    <row r="99" spans="1:8" x14ac:dyDescent="0.35">
      <c r="A99" s="691"/>
      <c r="B99" s="691"/>
      <c r="C99" s="691"/>
      <c r="D99" s="691"/>
      <c r="E99" s="691"/>
      <c r="F99" s="691"/>
    </row>
    <row r="100" spans="1:8" x14ac:dyDescent="0.35">
      <c r="A100" s="689" t="s">
        <v>343</v>
      </c>
      <c r="B100" s="689"/>
      <c r="C100" s="689"/>
      <c r="D100" s="689"/>
      <c r="E100" s="689"/>
      <c r="F100" s="689"/>
    </row>
    <row r="101" spans="1:8" x14ac:dyDescent="0.35">
      <c r="A101" s="689"/>
      <c r="B101" s="689"/>
      <c r="C101" s="689"/>
      <c r="D101" s="689"/>
      <c r="E101" s="689"/>
      <c r="F101" s="689"/>
    </row>
    <row r="103" spans="1:8" ht="46.8" x14ac:dyDescent="0.35">
      <c r="A103" s="573" t="s">
        <v>107</v>
      </c>
      <c r="B103" s="573" t="s">
        <v>101</v>
      </c>
      <c r="C103" s="573" t="s">
        <v>102</v>
      </c>
      <c r="D103" s="573" t="s">
        <v>219</v>
      </c>
      <c r="E103" s="573" t="s">
        <v>104</v>
      </c>
    </row>
    <row r="104" spans="1:8" x14ac:dyDescent="0.35">
      <c r="A104" s="574" t="s">
        <v>108</v>
      </c>
      <c r="B104" s="576" t="s">
        <v>77</v>
      </c>
      <c r="C104" s="577">
        <f>+'2.EERR USD'!C17</f>
        <v>220567.74</v>
      </c>
      <c r="D104" s="577">
        <f>+'6.EERR G'!C6</f>
        <v>6908.25</v>
      </c>
      <c r="E104" s="581">
        <f>+C104*D104</f>
        <v>1523737089.855</v>
      </c>
      <c r="G104" s="582"/>
      <c r="H104" s="580"/>
    </row>
    <row r="105" spans="1:8" x14ac:dyDescent="0.35">
      <c r="A105" s="574" t="s">
        <v>213</v>
      </c>
      <c r="B105" s="576" t="s">
        <v>77</v>
      </c>
      <c r="C105" s="577">
        <f>+'2.EERR USD'!C20</f>
        <v>87110.49</v>
      </c>
      <c r="D105" s="577">
        <v>6908.25</v>
      </c>
      <c r="E105" s="581">
        <f t="shared" ref="E105:E108" si="0">+C105*D105</f>
        <v>601781042.54250002</v>
      </c>
      <c r="G105" s="582"/>
      <c r="H105" s="580"/>
    </row>
    <row r="106" spans="1:8" x14ac:dyDescent="0.35">
      <c r="A106" s="574" t="s">
        <v>153</v>
      </c>
      <c r="B106" s="576" t="s">
        <v>77</v>
      </c>
      <c r="C106" s="577">
        <f>+'2.EERR USD'!C19</f>
        <v>229.07</v>
      </c>
      <c r="D106" s="577">
        <v>6908.25</v>
      </c>
      <c r="E106" s="581">
        <f t="shared" si="0"/>
        <v>1582472.8274999999</v>
      </c>
      <c r="G106" s="582"/>
    </row>
    <row r="107" spans="1:8" x14ac:dyDescent="0.35">
      <c r="A107" s="574" t="s">
        <v>214</v>
      </c>
      <c r="B107" s="576" t="s">
        <v>77</v>
      </c>
      <c r="C107" s="577">
        <f>+'2.EERR USD'!C21</f>
        <v>60999.59</v>
      </c>
      <c r="D107" s="577">
        <v>6908.25</v>
      </c>
      <c r="E107" s="581">
        <f t="shared" si="0"/>
        <v>421400417.61749995</v>
      </c>
    </row>
    <row r="108" spans="1:8" x14ac:dyDescent="0.35">
      <c r="A108" s="574" t="s">
        <v>154</v>
      </c>
      <c r="B108" s="576" t="s">
        <v>77</v>
      </c>
      <c r="C108" s="577">
        <f>+'2.EERR USD'!C22</f>
        <v>-75042.87</v>
      </c>
      <c r="D108" s="577">
        <v>6908.25</v>
      </c>
      <c r="E108" s="581">
        <f t="shared" si="0"/>
        <v>-518414906.67749995</v>
      </c>
    </row>
    <row r="109" spans="1:8" x14ac:dyDescent="0.35">
      <c r="A109" s="693" t="s">
        <v>109</v>
      </c>
      <c r="B109" s="694"/>
      <c r="C109" s="583">
        <f>SUM(C104:C108)</f>
        <v>293864.02</v>
      </c>
      <c r="D109" s="583"/>
      <c r="E109" s="584">
        <f>+E105+E104</f>
        <v>2125518132.3975</v>
      </c>
    </row>
    <row r="110" spans="1:8" x14ac:dyDescent="0.35">
      <c r="A110" s="567"/>
      <c r="B110" s="566"/>
      <c r="C110" s="585">
        <f>+C109-'2.EERR USD'!C23</f>
        <v>0</v>
      </c>
      <c r="D110" s="566"/>
      <c r="E110" s="566"/>
    </row>
    <row r="111" spans="1:8" x14ac:dyDescent="0.35">
      <c r="A111" s="567" t="s">
        <v>191</v>
      </c>
      <c r="B111" s="566"/>
      <c r="C111" s="566"/>
      <c r="D111" s="566"/>
      <c r="E111" s="566"/>
    </row>
    <row r="112" spans="1:8" x14ac:dyDescent="0.35">
      <c r="B112" s="566"/>
      <c r="C112" s="566"/>
      <c r="D112" s="566"/>
      <c r="E112" s="566"/>
    </row>
    <row r="113" spans="1:7" ht="93.6" x14ac:dyDescent="0.35">
      <c r="A113" s="573" t="s">
        <v>110</v>
      </c>
      <c r="B113" s="573" t="s">
        <v>111</v>
      </c>
      <c r="C113" s="573" t="s">
        <v>175</v>
      </c>
      <c r="D113" s="573" t="s">
        <v>112</v>
      </c>
      <c r="E113" s="566"/>
    </row>
    <row r="114" spans="1:7" x14ac:dyDescent="0.35">
      <c r="A114" s="572" t="s">
        <v>113</v>
      </c>
      <c r="B114" s="586"/>
      <c r="C114" s="587"/>
      <c r="D114" s="576"/>
      <c r="E114" s="566"/>
    </row>
    <row r="115" spans="1:7" x14ac:dyDescent="0.35">
      <c r="A115" s="574" t="s">
        <v>114</v>
      </c>
      <c r="B115" s="588">
        <v>1008.13738</v>
      </c>
      <c r="C115" s="578">
        <v>3011505.5414440939</v>
      </c>
      <c r="D115" s="578">
        <v>55</v>
      </c>
      <c r="E115" s="566"/>
    </row>
    <row r="116" spans="1:7" x14ac:dyDescent="0.35">
      <c r="A116" s="574" t="s">
        <v>115</v>
      </c>
      <c r="B116" s="588">
        <v>1021.240587</v>
      </c>
      <c r="C116" s="578">
        <v>3063721.7609999999</v>
      </c>
      <c r="D116" s="578">
        <v>55</v>
      </c>
      <c r="E116" s="566"/>
    </row>
    <row r="117" spans="1:7" x14ac:dyDescent="0.35">
      <c r="A117" s="574" t="s">
        <v>116</v>
      </c>
      <c r="B117" s="588">
        <v>1044.8318260937033</v>
      </c>
      <c r="C117" s="578">
        <v>5892851.4991684863</v>
      </c>
      <c r="D117" s="578">
        <v>67</v>
      </c>
      <c r="E117" s="566"/>
    </row>
    <row r="118" spans="1:7" x14ac:dyDescent="0.35">
      <c r="A118" s="572" t="s">
        <v>117</v>
      </c>
      <c r="B118" s="589"/>
      <c r="C118" s="590"/>
      <c r="D118" s="576"/>
      <c r="E118" s="566"/>
    </row>
    <row r="119" spans="1:7" x14ac:dyDescent="0.35">
      <c r="A119" s="574" t="s">
        <v>118</v>
      </c>
      <c r="B119" s="588">
        <v>1024.7265319148935</v>
      </c>
      <c r="C119" s="578">
        <v>5779457.6399999997</v>
      </c>
      <c r="D119" s="578">
        <v>70</v>
      </c>
      <c r="E119" s="566"/>
    </row>
    <row r="120" spans="1:7" x14ac:dyDescent="0.35">
      <c r="A120" s="574" t="s">
        <v>119</v>
      </c>
      <c r="B120" s="588">
        <v>1012.9280623133203</v>
      </c>
      <c r="C120" s="578">
        <v>6077568.3738799216</v>
      </c>
      <c r="D120" s="578">
        <v>74</v>
      </c>
      <c r="E120" s="566"/>
    </row>
    <row r="121" spans="1:7" x14ac:dyDescent="0.35">
      <c r="A121" s="574" t="s">
        <v>120</v>
      </c>
      <c r="B121" s="588">
        <v>1062.9229037266666</v>
      </c>
      <c r="C121" s="578">
        <v>6377537.4223600002</v>
      </c>
      <c r="D121" s="578">
        <v>86</v>
      </c>
      <c r="E121" s="566"/>
    </row>
    <row r="122" spans="1:7" x14ac:dyDescent="0.35">
      <c r="A122" s="572" t="s">
        <v>121</v>
      </c>
      <c r="B122" s="576"/>
      <c r="C122" s="590"/>
      <c r="D122" s="576"/>
      <c r="E122" s="566"/>
      <c r="F122" s="591"/>
    </row>
    <row r="123" spans="1:7" x14ac:dyDescent="0.35">
      <c r="A123" s="574" t="s">
        <v>122</v>
      </c>
      <c r="B123" s="588">
        <v>0</v>
      </c>
      <c r="C123" s="578">
        <v>0</v>
      </c>
      <c r="D123" s="578">
        <v>0</v>
      </c>
      <c r="E123" s="566"/>
    </row>
    <row r="124" spans="1:7" x14ac:dyDescent="0.35">
      <c r="A124" s="574" t="s">
        <v>123</v>
      </c>
      <c r="B124" s="588">
        <v>0</v>
      </c>
      <c r="C124" s="578">
        <v>0</v>
      </c>
      <c r="D124" s="578">
        <v>0</v>
      </c>
      <c r="E124" s="566"/>
      <c r="F124" s="592"/>
    </row>
    <row r="125" spans="1:7" x14ac:dyDescent="0.35">
      <c r="A125" s="574" t="s">
        <v>124</v>
      </c>
      <c r="B125" s="593">
        <v>0</v>
      </c>
      <c r="C125" s="594">
        <v>0</v>
      </c>
      <c r="D125" s="594">
        <v>0</v>
      </c>
      <c r="E125" s="595"/>
      <c r="F125" s="596"/>
      <c r="G125" s="592"/>
    </row>
    <row r="126" spans="1:7" x14ac:dyDescent="0.35">
      <c r="A126" s="572" t="s">
        <v>125</v>
      </c>
      <c r="B126" s="576"/>
      <c r="C126" s="590"/>
      <c r="D126" s="576"/>
      <c r="E126" s="566"/>
      <c r="F126" s="592"/>
      <c r="G126" s="592"/>
    </row>
    <row r="127" spans="1:7" x14ac:dyDescent="0.35">
      <c r="A127" s="574" t="s">
        <v>126</v>
      </c>
      <c r="B127" s="588">
        <v>0</v>
      </c>
      <c r="C127" s="578">
        <v>0</v>
      </c>
      <c r="D127" s="578">
        <v>0</v>
      </c>
      <c r="E127" s="566"/>
      <c r="F127" s="592"/>
      <c r="G127" s="592"/>
    </row>
    <row r="128" spans="1:7" x14ac:dyDescent="0.35">
      <c r="A128" s="574" t="s">
        <v>127</v>
      </c>
      <c r="B128" s="588">
        <v>0</v>
      </c>
      <c r="C128" s="578">
        <v>0</v>
      </c>
      <c r="D128" s="578">
        <v>0</v>
      </c>
      <c r="E128" s="566"/>
      <c r="G128" s="591"/>
    </row>
    <row r="129" spans="1:7" x14ac:dyDescent="0.35">
      <c r="A129" s="574" t="s">
        <v>128</v>
      </c>
      <c r="B129" s="588">
        <v>0</v>
      </c>
      <c r="C129" s="578">
        <v>0</v>
      </c>
      <c r="D129" s="578">
        <v>0</v>
      </c>
      <c r="E129" s="566"/>
    </row>
    <row r="130" spans="1:7" x14ac:dyDescent="0.35">
      <c r="A130" s="567"/>
      <c r="B130" s="566"/>
      <c r="C130" s="566"/>
      <c r="D130" s="566"/>
      <c r="E130" s="566"/>
    </row>
    <row r="131" spans="1:7" x14ac:dyDescent="0.35">
      <c r="A131" s="688" t="s">
        <v>129</v>
      </c>
      <c r="B131" s="688"/>
      <c r="C131" s="688"/>
      <c r="D131" s="688"/>
      <c r="E131" s="688"/>
      <c r="F131" s="688"/>
      <c r="G131" s="688"/>
    </row>
    <row r="132" spans="1:7" x14ac:dyDescent="0.35">
      <c r="A132" s="567"/>
      <c r="B132" s="566"/>
      <c r="C132" s="566"/>
      <c r="D132" s="566"/>
      <c r="E132" s="566"/>
    </row>
    <row r="133" spans="1:7" x14ac:dyDescent="0.35">
      <c r="A133" s="567" t="s">
        <v>130</v>
      </c>
      <c r="B133" s="566"/>
      <c r="C133" s="566"/>
      <c r="D133" s="566"/>
      <c r="E133" s="566"/>
    </row>
    <row r="134" spans="1:7" x14ac:dyDescent="0.35">
      <c r="A134" s="689" t="s">
        <v>166</v>
      </c>
      <c r="B134" s="689"/>
      <c r="C134" s="689"/>
      <c r="D134" s="689"/>
      <c r="E134" s="689"/>
    </row>
    <row r="135" spans="1:7" x14ac:dyDescent="0.35">
      <c r="A135" s="689"/>
      <c r="B135" s="689"/>
      <c r="C135" s="689"/>
      <c r="D135" s="689"/>
      <c r="E135" s="689"/>
    </row>
    <row r="136" spans="1:7" x14ac:dyDescent="0.35">
      <c r="B136" s="692" t="s">
        <v>39</v>
      </c>
      <c r="C136" s="692"/>
      <c r="D136" s="692"/>
      <c r="E136" s="566"/>
    </row>
    <row r="137" spans="1:7" ht="31.2" x14ac:dyDescent="0.35">
      <c r="B137" s="573" t="s">
        <v>17</v>
      </c>
      <c r="C137" s="573" t="s">
        <v>220</v>
      </c>
      <c r="D137" s="573" t="s">
        <v>212</v>
      </c>
      <c r="E137" s="566"/>
    </row>
    <row r="138" spans="1:7" x14ac:dyDescent="0.35">
      <c r="B138" s="597" t="s">
        <v>186</v>
      </c>
      <c r="C138" s="598">
        <f>+'[5]BALANCE GENERAL'!$I$17</f>
        <v>6550.6423024612823</v>
      </c>
      <c r="D138" s="598">
        <f>+'[6]BALANCE GENERAL'!$I$17</f>
        <v>249081.6646072297</v>
      </c>
      <c r="E138" s="566"/>
    </row>
    <row r="139" spans="1:7" x14ac:dyDescent="0.35">
      <c r="B139" s="574" t="s">
        <v>187</v>
      </c>
      <c r="C139" s="598">
        <f>+'[5]BALANCE GENERAL'!$I$18</f>
        <v>4299.3599999999997</v>
      </c>
      <c r="D139" s="598">
        <f>+'[6]BALANCE GENERAL'!$I$18</f>
        <v>11931.8</v>
      </c>
      <c r="E139" s="566"/>
    </row>
    <row r="140" spans="1:7" x14ac:dyDescent="0.35">
      <c r="B140" s="574" t="s">
        <v>192</v>
      </c>
      <c r="C140" s="598">
        <f>+'[5]BALANCE GENERAL'!$I$20</f>
        <v>21936.559470012726</v>
      </c>
      <c r="D140" s="598">
        <v>0</v>
      </c>
      <c r="E140" s="566"/>
    </row>
    <row r="141" spans="1:7" x14ac:dyDescent="0.35">
      <c r="B141" s="574" t="s">
        <v>193</v>
      </c>
      <c r="C141" s="598">
        <f>+'[5]BALANCE GENERAL'!$I$21</f>
        <v>-2900.11</v>
      </c>
      <c r="D141" s="598">
        <v>0</v>
      </c>
      <c r="E141" s="566"/>
    </row>
    <row r="142" spans="1:7" x14ac:dyDescent="0.35">
      <c r="B142" s="572" t="s">
        <v>109</v>
      </c>
      <c r="C142" s="583">
        <f>SUM(C138:C141)</f>
        <v>29886.451772474007</v>
      </c>
      <c r="D142" s="583">
        <f>SUM(D138:D141)</f>
        <v>261013.46460722969</v>
      </c>
      <c r="E142" s="566"/>
    </row>
    <row r="143" spans="1:7" x14ac:dyDescent="0.35">
      <c r="A143" s="566"/>
      <c r="B143" s="566"/>
      <c r="C143" s="566"/>
      <c r="D143" s="566"/>
      <c r="E143" s="566"/>
    </row>
    <row r="144" spans="1:7" x14ac:dyDescent="0.35">
      <c r="A144" s="567" t="s">
        <v>150</v>
      </c>
      <c r="B144" s="566"/>
      <c r="C144" s="566"/>
      <c r="D144" s="566"/>
      <c r="E144" s="566"/>
    </row>
    <row r="145" spans="1:5" x14ac:dyDescent="0.35">
      <c r="A145" s="566"/>
      <c r="B145" s="566"/>
      <c r="C145" s="566"/>
      <c r="D145" s="566"/>
      <c r="E145" s="566"/>
    </row>
    <row r="146" spans="1:5" x14ac:dyDescent="0.35">
      <c r="A146" s="568" t="s">
        <v>151</v>
      </c>
      <c r="B146" s="566"/>
      <c r="C146" s="566"/>
      <c r="D146" s="566"/>
      <c r="E146" s="566"/>
    </row>
    <row r="147" spans="1:5" x14ac:dyDescent="0.35">
      <c r="A147" s="567"/>
      <c r="B147" s="566"/>
      <c r="C147" s="566"/>
      <c r="D147" s="566"/>
      <c r="E147" s="566"/>
    </row>
    <row r="148" spans="1:5" ht="17.25" customHeight="1" x14ac:dyDescent="0.35">
      <c r="A148" s="567" t="s">
        <v>131</v>
      </c>
      <c r="B148" s="566"/>
      <c r="C148" s="566"/>
      <c r="D148" s="566"/>
      <c r="E148" s="566"/>
    </row>
    <row r="149" spans="1:5" ht="17.25" customHeight="1" x14ac:dyDescent="0.35">
      <c r="A149" s="567"/>
      <c r="B149" s="566"/>
      <c r="C149" s="566"/>
      <c r="D149" s="566"/>
      <c r="E149" s="566"/>
    </row>
    <row r="150" spans="1:5" ht="17.25" customHeight="1" x14ac:dyDescent="0.35">
      <c r="A150" s="565" t="s">
        <v>155</v>
      </c>
      <c r="B150" s="566"/>
      <c r="C150" s="566"/>
      <c r="D150" s="566"/>
      <c r="E150" s="566"/>
    </row>
    <row r="151" spans="1:5" ht="17.25" customHeight="1" x14ac:dyDescent="0.35">
      <c r="A151" s="565"/>
      <c r="B151" s="566"/>
      <c r="C151" s="566"/>
      <c r="D151" s="566"/>
      <c r="E151" s="566"/>
    </row>
    <row r="152" spans="1:5" ht="17.25" customHeight="1" x14ac:dyDescent="0.35">
      <c r="A152" s="599" t="s">
        <v>156</v>
      </c>
      <c r="B152" s="566"/>
      <c r="C152" s="566"/>
      <c r="D152" s="566"/>
      <c r="E152" s="566"/>
    </row>
    <row r="153" spans="1:5" x14ac:dyDescent="0.35">
      <c r="A153" s="567"/>
      <c r="B153" s="566"/>
      <c r="C153" s="566"/>
      <c r="D153" s="566"/>
      <c r="E153" s="566"/>
    </row>
    <row r="154" spans="1:5" ht="31.2" x14ac:dyDescent="0.35">
      <c r="A154" s="573" t="s">
        <v>107</v>
      </c>
      <c r="B154" s="573" t="s">
        <v>95</v>
      </c>
      <c r="C154" s="573" t="s">
        <v>96</v>
      </c>
      <c r="E154" s="566"/>
    </row>
    <row r="155" spans="1:5" x14ac:dyDescent="0.35">
      <c r="A155" s="574" t="s">
        <v>132</v>
      </c>
      <c r="B155" s="600">
        <f>+'1.BG USD'!C44</f>
        <v>49972.58</v>
      </c>
      <c r="C155" s="601">
        <f>+'1.BG USD'!D44</f>
        <v>59319.89</v>
      </c>
      <c r="E155" s="566"/>
    </row>
    <row r="156" spans="1:5" x14ac:dyDescent="0.35">
      <c r="A156" s="572" t="s">
        <v>109</v>
      </c>
      <c r="B156" s="602">
        <f>SUM(B155:B155)</f>
        <v>49972.58</v>
      </c>
      <c r="C156" s="602">
        <f>SUM(C155:C155)</f>
        <v>59319.89</v>
      </c>
      <c r="E156" s="566"/>
    </row>
    <row r="157" spans="1:5" ht="15" customHeight="1" x14ac:dyDescent="0.35">
      <c r="A157" s="567"/>
      <c r="B157" s="566"/>
      <c r="C157" s="566"/>
      <c r="D157" s="566"/>
      <c r="E157" s="566"/>
    </row>
    <row r="158" spans="1:5" x14ac:dyDescent="0.35">
      <c r="A158" s="387" t="s">
        <v>163</v>
      </c>
      <c r="B158" s="566"/>
      <c r="C158" s="566"/>
      <c r="D158" s="566"/>
      <c r="E158" s="566"/>
    </row>
    <row r="159" spans="1:5" ht="15.6" customHeight="1" x14ac:dyDescent="0.35">
      <c r="A159" s="603" t="s">
        <v>358</v>
      </c>
      <c r="B159" s="603"/>
      <c r="C159" s="603"/>
      <c r="D159" s="566"/>
      <c r="E159" s="566"/>
    </row>
    <row r="160" spans="1:5" x14ac:dyDescent="0.35">
      <c r="A160" s="604"/>
      <c r="B160" s="605"/>
      <c r="C160" s="605"/>
      <c r="D160" s="605"/>
    </row>
    <row r="161" spans="1:4" x14ac:dyDescent="0.35">
      <c r="A161" s="605"/>
      <c r="B161" s="605"/>
      <c r="C161" s="605"/>
      <c r="D161" s="605"/>
    </row>
    <row r="162" spans="1:4" x14ac:dyDescent="0.35">
      <c r="A162" s="605"/>
      <c r="B162" s="605"/>
      <c r="C162" s="605"/>
      <c r="D162" s="605"/>
    </row>
    <row r="163" spans="1:4" x14ac:dyDescent="0.35">
      <c r="A163" s="605"/>
      <c r="B163" s="605"/>
      <c r="C163" s="605"/>
      <c r="D163" s="605"/>
    </row>
    <row r="164" spans="1:4" x14ac:dyDescent="0.35">
      <c r="A164" s="605"/>
      <c r="B164" s="605"/>
      <c r="C164" s="605"/>
      <c r="D164" s="605"/>
    </row>
    <row r="165" spans="1:4" x14ac:dyDescent="0.35">
      <c r="A165" s="605"/>
      <c r="B165" s="605"/>
      <c r="C165" s="605"/>
      <c r="D165" s="605"/>
    </row>
    <row r="166" spans="1:4" x14ac:dyDescent="0.35">
      <c r="A166" s="605"/>
      <c r="B166" s="605"/>
      <c r="C166" s="605"/>
      <c r="D166" s="605"/>
    </row>
    <row r="167" spans="1:4" x14ac:dyDescent="0.35">
      <c r="A167" s="605"/>
      <c r="B167" s="605"/>
      <c r="C167" s="605"/>
      <c r="D167" s="605"/>
    </row>
    <row r="168" spans="1:4" x14ac:dyDescent="0.35">
      <c r="A168" s="605"/>
      <c r="B168" s="605"/>
      <c r="C168" s="605"/>
      <c r="D168" s="605"/>
    </row>
    <row r="169" spans="1:4" x14ac:dyDescent="0.35">
      <c r="A169" s="605"/>
      <c r="B169" s="605"/>
      <c r="C169" s="605"/>
      <c r="D169" s="605"/>
    </row>
    <row r="170" spans="1:4" x14ac:dyDescent="0.35">
      <c r="A170" s="605"/>
      <c r="B170" s="605"/>
      <c r="C170" s="605"/>
      <c r="D170" s="605"/>
    </row>
    <row r="171" spans="1:4" x14ac:dyDescent="0.35">
      <c r="A171" s="605"/>
      <c r="B171" s="605"/>
      <c r="C171" s="605"/>
      <c r="D171" s="605"/>
    </row>
    <row r="172" spans="1:4" x14ac:dyDescent="0.35">
      <c r="A172" s="605"/>
      <c r="B172" s="605"/>
      <c r="C172" s="605"/>
      <c r="D172" s="605"/>
    </row>
    <row r="173" spans="1:4" x14ac:dyDescent="0.35">
      <c r="A173" s="605"/>
      <c r="B173" s="605"/>
      <c r="C173" s="605"/>
      <c r="D173" s="605"/>
    </row>
    <row r="174" spans="1:4" x14ac:dyDescent="0.35">
      <c r="A174" s="605"/>
      <c r="B174" s="605"/>
      <c r="C174" s="605"/>
      <c r="D174" s="605"/>
    </row>
    <row r="175" spans="1:4" x14ac:dyDescent="0.35">
      <c r="A175" s="605"/>
      <c r="B175" s="605"/>
      <c r="C175" s="605"/>
      <c r="D175" s="605"/>
    </row>
    <row r="176" spans="1:4" x14ac:dyDescent="0.35">
      <c r="A176" s="605"/>
      <c r="B176" s="605"/>
      <c r="C176" s="605"/>
      <c r="D176" s="605"/>
    </row>
    <row r="177" spans="1:4" x14ac:dyDescent="0.35">
      <c r="A177" s="605"/>
      <c r="B177" s="605"/>
      <c r="C177" s="605"/>
      <c r="D177" s="605"/>
    </row>
  </sheetData>
  <mergeCells count="54">
    <mergeCell ref="A19:G19"/>
    <mergeCell ref="A21:G21"/>
    <mergeCell ref="A23:G23"/>
    <mergeCell ref="A17:G17"/>
    <mergeCell ref="A2:G2"/>
    <mergeCell ref="A3:G3"/>
    <mergeCell ref="A5:G5"/>
    <mergeCell ref="A6:G6"/>
    <mergeCell ref="A7:G7"/>
    <mergeCell ref="A8:G8"/>
    <mergeCell ref="A9:G10"/>
    <mergeCell ref="A12:G12"/>
    <mergeCell ref="A13:G13"/>
    <mergeCell ref="A15:G15"/>
    <mergeCell ref="A35:G35"/>
    <mergeCell ref="A37:G37"/>
    <mergeCell ref="A41:G41"/>
    <mergeCell ref="A39:G39"/>
    <mergeCell ref="A25:G25"/>
    <mergeCell ref="A27:G27"/>
    <mergeCell ref="A29:G29"/>
    <mergeCell ref="A31:G31"/>
    <mergeCell ref="A33:G33"/>
    <mergeCell ref="A62:G63"/>
    <mergeCell ref="A43:G43"/>
    <mergeCell ref="A44:G45"/>
    <mergeCell ref="A46:G47"/>
    <mergeCell ref="A48:G49"/>
    <mergeCell ref="A50:G50"/>
    <mergeCell ref="A51:G53"/>
    <mergeCell ref="A54:G54"/>
    <mergeCell ref="A55:G56"/>
    <mergeCell ref="A58:G58"/>
    <mergeCell ref="A59:G59"/>
    <mergeCell ref="A61:G61"/>
    <mergeCell ref="A93:F95"/>
    <mergeCell ref="A64:G64"/>
    <mergeCell ref="A65:G66"/>
    <mergeCell ref="A68:G68"/>
    <mergeCell ref="A69:G70"/>
    <mergeCell ref="A71:G71"/>
    <mergeCell ref="A73:G73"/>
    <mergeCell ref="A75:G75"/>
    <mergeCell ref="A76:G76"/>
    <mergeCell ref="A77:XFD77"/>
    <mergeCell ref="A78:G78"/>
    <mergeCell ref="A92:F92"/>
    <mergeCell ref="A96:F96"/>
    <mergeCell ref="A98:F99"/>
    <mergeCell ref="A100:F101"/>
    <mergeCell ref="A134:E135"/>
    <mergeCell ref="B136:D136"/>
    <mergeCell ref="A109:B109"/>
    <mergeCell ref="A131:G131"/>
  </mergeCells>
  <hyperlinks>
    <hyperlink ref="A146" location="'11.Cuadro de Inversiones'!A1" display="Ver Cuadro" xr:uid="{00000000-0004-0000-0A00-000000000000}"/>
  </hyperlinks>
  <pageMargins left="0.7" right="0.7" top="0.75" bottom="0.75" header="0.3" footer="0.3"/>
  <pageSetup paperSize="9" scale="5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1"/>
  <sheetViews>
    <sheetView showGridLines="0" zoomScale="85" zoomScaleNormal="85" workbookViewId="0">
      <pane ySplit="7" topLeftCell="A15" activePane="bottomLeft" state="frozen"/>
      <selection activeCell="A32" sqref="A32"/>
      <selection pane="bottomLeft" activeCell="A32" sqref="A32"/>
    </sheetView>
  </sheetViews>
  <sheetFormatPr baseColWidth="10" defaultColWidth="11.44140625" defaultRowHeight="14.4" x14ac:dyDescent="0.3"/>
  <cols>
    <col min="1" max="1" width="11.44140625" style="2"/>
    <col min="2" max="2" width="35.6640625" style="2" customWidth="1"/>
    <col min="3" max="3" width="33.109375" style="2" customWidth="1"/>
    <col min="4" max="4" width="25" style="2" customWidth="1"/>
    <col min="5" max="5" width="12.109375" style="2" customWidth="1"/>
    <col min="6" max="6" width="13.109375" style="2" bestFit="1" customWidth="1"/>
    <col min="7" max="7" width="15.88671875" style="2" customWidth="1"/>
    <col min="8" max="8" width="21.5546875" style="2" customWidth="1"/>
    <col min="9" max="10" width="16.88671875" style="2" bestFit="1" customWidth="1"/>
    <col min="11" max="11" width="22" style="2" customWidth="1"/>
    <col min="12" max="12" width="19" style="2" customWidth="1"/>
    <col min="13" max="13" width="12.88671875" style="2" customWidth="1"/>
    <col min="14" max="14" width="16.44140625" style="2" customWidth="1"/>
    <col min="15" max="15" width="18.5546875" style="2" customWidth="1"/>
    <col min="16" max="16" width="13.6640625" style="2" customWidth="1"/>
    <col min="17" max="16384" width="11.44140625" style="2"/>
  </cols>
  <sheetData>
    <row r="1" spans="1:18" ht="18" x14ac:dyDescent="0.3">
      <c r="B1" s="17" t="s">
        <v>133</v>
      </c>
      <c r="C1" s="17"/>
      <c r="D1" s="17"/>
      <c r="E1" s="17"/>
      <c r="F1" s="17"/>
      <c r="G1" s="17"/>
      <c r="H1" s="17"/>
    </row>
    <row r="2" spans="1:18" ht="18" x14ac:dyDescent="0.35">
      <c r="B2" s="698" t="str">
        <f>+"COMPOSICIÓN DE LAS INVERSIONES DEL FONDO DE INVERSION IN GANADERO DOLARES AMERICANOS CORRESPONDIENTE AL 30 DE JUNIO 2022"</f>
        <v>COMPOSICIÓN DE LAS INVERSIONES DEL FONDO DE INVERSION IN GANADERO DOLARES AMERICANOS CORRESPONDIENTE AL 30 DE JUNIO 2022</v>
      </c>
      <c r="C2" s="698"/>
      <c r="D2" s="698"/>
      <c r="E2" s="698"/>
      <c r="F2" s="698"/>
      <c r="G2" s="698"/>
      <c r="H2" s="698"/>
      <c r="I2" s="698"/>
      <c r="J2" s="698"/>
      <c r="K2" s="698"/>
      <c r="L2" s="26"/>
      <c r="M2" s="26"/>
    </row>
    <row r="4" spans="1:18" ht="86.25" customHeight="1" x14ac:dyDescent="0.3">
      <c r="B4" s="3" t="s">
        <v>366</v>
      </c>
      <c r="C4" s="3" t="s">
        <v>134</v>
      </c>
      <c r="D4" s="3" t="s">
        <v>138</v>
      </c>
      <c r="E4" s="3" t="s">
        <v>139</v>
      </c>
      <c r="F4" s="3" t="s">
        <v>140</v>
      </c>
      <c r="G4" s="3" t="s">
        <v>135</v>
      </c>
      <c r="H4" s="3" t="s">
        <v>141</v>
      </c>
      <c r="I4" s="3" t="s">
        <v>136</v>
      </c>
      <c r="J4" s="3" t="s">
        <v>142</v>
      </c>
      <c r="K4" s="3" t="s">
        <v>143</v>
      </c>
      <c r="L4" s="3" t="s">
        <v>144</v>
      </c>
      <c r="M4" s="3" t="s">
        <v>145</v>
      </c>
      <c r="N4" s="3" t="s">
        <v>146</v>
      </c>
      <c r="O4" s="3" t="s">
        <v>147</v>
      </c>
      <c r="P4" s="3" t="s">
        <v>148</v>
      </c>
    </row>
    <row r="5" spans="1:18" ht="15" customHeight="1" x14ac:dyDescent="0.3">
      <c r="B5" s="631" t="s">
        <v>362</v>
      </c>
      <c r="C5" s="631" t="s">
        <v>221</v>
      </c>
      <c r="D5" s="631" t="s">
        <v>361</v>
      </c>
      <c r="E5" s="632" t="s">
        <v>149</v>
      </c>
      <c r="F5" s="632">
        <v>44470</v>
      </c>
      <c r="G5" s="663">
        <v>47025</v>
      </c>
      <c r="H5" s="633" t="s">
        <v>176</v>
      </c>
      <c r="I5" s="634">
        <v>340349.64271461719</v>
      </c>
      <c r="J5" s="634">
        <v>228190.4060859622</v>
      </c>
      <c r="K5" s="634">
        <v>239839.51473165548</v>
      </c>
      <c r="L5" s="634">
        <v>340349.64271461719</v>
      </c>
      <c r="M5" s="635">
        <v>6.7000000000000004E-2</v>
      </c>
      <c r="N5" s="636">
        <v>0.25</v>
      </c>
      <c r="O5" s="637">
        <v>3.760691609441049E-2</v>
      </c>
      <c r="P5" s="637">
        <v>3.9997404747377015E-2</v>
      </c>
    </row>
    <row r="6" spans="1:18" ht="15" customHeight="1" x14ac:dyDescent="0.3">
      <c r="B6" s="631" t="s">
        <v>362</v>
      </c>
      <c r="C6" s="631" t="s">
        <v>370</v>
      </c>
      <c r="D6" s="631" t="s">
        <v>365</v>
      </c>
      <c r="E6" s="632" t="s">
        <v>149</v>
      </c>
      <c r="F6" s="632">
        <v>44566</v>
      </c>
      <c r="G6" s="663">
        <v>45909</v>
      </c>
      <c r="H6" s="633" t="s">
        <v>176</v>
      </c>
      <c r="I6" s="634">
        <v>9398.7279199630011</v>
      </c>
      <c r="J6" s="634">
        <v>6629.6053195488312</v>
      </c>
      <c r="K6" s="634">
        <v>6957.1540036016504</v>
      </c>
      <c r="L6" s="634">
        <v>9398.7279199630011</v>
      </c>
      <c r="M6" s="635">
        <v>0.1</v>
      </c>
      <c r="N6" s="636">
        <v>0.25</v>
      </c>
      <c r="O6" s="637">
        <v>1.0908840737193454E-3</v>
      </c>
      <c r="P6" s="637">
        <v>2.2593671100344047E-3</v>
      </c>
    </row>
    <row r="7" spans="1:18" customFormat="1" x14ac:dyDescent="0.3">
      <c r="A7" s="2"/>
      <c r="B7" s="631" t="s">
        <v>137</v>
      </c>
      <c r="C7" s="631" t="s">
        <v>371</v>
      </c>
      <c r="D7" s="631" t="s">
        <v>360</v>
      </c>
      <c r="E7" s="632" t="s">
        <v>149</v>
      </c>
      <c r="F7" s="632">
        <v>44651</v>
      </c>
      <c r="G7" s="663">
        <v>45154</v>
      </c>
      <c r="H7" s="633" t="s">
        <v>176</v>
      </c>
      <c r="I7" s="634">
        <v>80905.253074774417</v>
      </c>
      <c r="J7" s="634">
        <v>73730.012729025024</v>
      </c>
      <c r="K7" s="634">
        <v>75025.912840833043</v>
      </c>
      <c r="L7" s="634">
        <v>80905.253074774417</v>
      </c>
      <c r="M7" s="635">
        <v>8.5000000000000006E-2</v>
      </c>
      <c r="N7" s="636">
        <v>0.25</v>
      </c>
      <c r="O7" s="637">
        <v>1.1764088216525085E-2</v>
      </c>
      <c r="P7" s="637">
        <v>8.3429633121062496E-2</v>
      </c>
      <c r="R7" s="2"/>
    </row>
    <row r="8" spans="1:18" s="630" customFormat="1" x14ac:dyDescent="0.3">
      <c r="A8" s="2"/>
      <c r="B8" s="638" t="s">
        <v>362</v>
      </c>
      <c r="C8" s="639" t="s">
        <v>370</v>
      </c>
      <c r="D8" s="639" t="s">
        <v>365</v>
      </c>
      <c r="E8" s="640" t="s">
        <v>149</v>
      </c>
      <c r="F8" s="640">
        <v>44673</v>
      </c>
      <c r="G8" s="663">
        <v>45946</v>
      </c>
      <c r="H8" s="639" t="s">
        <v>176</v>
      </c>
      <c r="I8" s="641">
        <v>9864.4400757981257</v>
      </c>
      <c r="J8" s="641">
        <v>7314.190081989429</v>
      </c>
      <c r="K8" s="641">
        <v>7452.0442914921305</v>
      </c>
      <c r="L8" s="641">
        <v>9864.4400757981257</v>
      </c>
      <c r="M8" s="641">
        <v>0.1</v>
      </c>
      <c r="N8" s="642">
        <v>0.25</v>
      </c>
      <c r="O8" s="643">
        <v>1.1684830363150594E-3</v>
      </c>
      <c r="P8" s="643">
        <v>2.2593671100344047E-3</v>
      </c>
      <c r="R8" s="2"/>
    </row>
    <row r="9" spans="1:18" x14ac:dyDescent="0.3">
      <c r="B9" s="631" t="s">
        <v>364</v>
      </c>
      <c r="C9" s="633" t="s">
        <v>372</v>
      </c>
      <c r="D9" s="633" t="s">
        <v>363</v>
      </c>
      <c r="E9" s="632" t="s">
        <v>149</v>
      </c>
      <c r="F9" s="632">
        <v>44686</v>
      </c>
      <c r="G9" s="663">
        <v>45534</v>
      </c>
      <c r="H9" s="633" t="s">
        <v>176</v>
      </c>
      <c r="I9" s="634">
        <v>817183.9187184663</v>
      </c>
      <c r="J9" s="634">
        <v>737338.94745369966</v>
      </c>
      <c r="K9" s="634">
        <v>742609.895785445</v>
      </c>
      <c r="L9" s="634">
        <v>817183.9187184663</v>
      </c>
      <c r="M9" s="634">
        <v>4.7E-2</v>
      </c>
      <c r="N9" s="636">
        <v>0.25</v>
      </c>
      <c r="O9" s="637">
        <v>0.11644147993264822</v>
      </c>
      <c r="P9" s="637">
        <v>0.11644147993264822</v>
      </c>
    </row>
    <row r="10" spans="1:18" x14ac:dyDescent="0.3">
      <c r="B10" s="631" t="s">
        <v>362</v>
      </c>
      <c r="C10" s="633" t="s">
        <v>221</v>
      </c>
      <c r="D10" s="633" t="s">
        <v>361</v>
      </c>
      <c r="E10" s="632" t="s">
        <v>149</v>
      </c>
      <c r="F10" s="632">
        <v>44687</v>
      </c>
      <c r="G10" s="663">
        <v>47514</v>
      </c>
      <c r="H10" s="633" t="s">
        <v>176</v>
      </c>
      <c r="I10" s="634">
        <v>25730.883089691277</v>
      </c>
      <c r="J10" s="634">
        <v>15035.882786259892</v>
      </c>
      <c r="K10" s="634">
        <v>15245.430842020958</v>
      </c>
      <c r="L10" s="634">
        <v>25730.883089691277</v>
      </c>
      <c r="M10" s="634">
        <v>0.1</v>
      </c>
      <c r="N10" s="636">
        <v>0.25</v>
      </c>
      <c r="O10" s="637">
        <v>2.3904886529665247E-3</v>
      </c>
      <c r="P10" s="637">
        <v>3.9997404747377015E-2</v>
      </c>
    </row>
    <row r="11" spans="1:18" x14ac:dyDescent="0.3">
      <c r="B11" s="631" t="s">
        <v>137</v>
      </c>
      <c r="C11" s="633" t="s">
        <v>371</v>
      </c>
      <c r="D11" s="633" t="s">
        <v>360</v>
      </c>
      <c r="E11" s="632" t="s">
        <v>149</v>
      </c>
      <c r="F11" s="632">
        <v>44742</v>
      </c>
      <c r="G11" s="663">
        <v>45342</v>
      </c>
      <c r="H11" s="633" t="s">
        <v>176</v>
      </c>
      <c r="I11" s="634">
        <v>500209.64682139258</v>
      </c>
      <c r="J11" s="634">
        <v>457049.69452250836</v>
      </c>
      <c r="K11" s="634">
        <v>457049.69452250836</v>
      </c>
      <c r="L11" s="634">
        <v>500209.64682139258</v>
      </c>
      <c r="M11" s="634">
        <v>0.08</v>
      </c>
      <c r="N11" s="636">
        <v>0.25</v>
      </c>
      <c r="O11" s="637">
        <v>7.1665544904537415E-2</v>
      </c>
      <c r="P11" s="637">
        <v>8.3429633121062496E-2</v>
      </c>
    </row>
    <row r="12" spans="1:18" x14ac:dyDescent="0.3">
      <c r="B12" s="631" t="s">
        <v>137</v>
      </c>
      <c r="C12" s="633" t="s">
        <v>373</v>
      </c>
      <c r="D12" s="633" t="s">
        <v>360</v>
      </c>
      <c r="E12" s="632" t="s">
        <v>149</v>
      </c>
      <c r="F12" s="632">
        <v>44742</v>
      </c>
      <c r="G12" s="663">
        <v>45446</v>
      </c>
      <c r="H12" s="633" t="s">
        <v>176</v>
      </c>
      <c r="I12" s="634">
        <v>166858.08566957692</v>
      </c>
      <c r="J12" s="634">
        <v>149959.73293736717</v>
      </c>
      <c r="K12" s="634">
        <v>149959.73293736717</v>
      </c>
      <c r="L12" s="634">
        <v>166858.08566957692</v>
      </c>
      <c r="M12" s="634">
        <v>7.0000000000000007E-2</v>
      </c>
      <c r="N12" s="636">
        <v>0.25</v>
      </c>
      <c r="O12" s="637">
        <v>2.3513736259955138E-2</v>
      </c>
      <c r="P12" s="637">
        <v>2.3513736259955138E-2</v>
      </c>
    </row>
    <row r="13" spans="1:18" x14ac:dyDescent="0.3">
      <c r="B13" s="631" t="s">
        <v>137</v>
      </c>
      <c r="C13" s="633" t="s">
        <v>374</v>
      </c>
      <c r="D13" s="633" t="s">
        <v>177</v>
      </c>
      <c r="E13" s="632" t="s">
        <v>149</v>
      </c>
      <c r="F13" s="632">
        <v>44742</v>
      </c>
      <c r="G13" s="663">
        <v>44998</v>
      </c>
      <c r="H13" s="633" t="s">
        <v>359</v>
      </c>
      <c r="I13" s="634">
        <v>103612.42</v>
      </c>
      <c r="J13" s="634">
        <v>100456.16635085767</v>
      </c>
      <c r="K13" s="634">
        <v>100456.16635085767</v>
      </c>
      <c r="L13" s="634">
        <v>103612.42</v>
      </c>
      <c r="M13" s="634">
        <v>4.4999999999999998E-2</v>
      </c>
      <c r="N13" s="636">
        <v>0.25</v>
      </c>
      <c r="O13" s="637">
        <v>1.5751560468881418E-2</v>
      </c>
      <c r="P13" s="637">
        <v>1.5751560468881418E-2</v>
      </c>
    </row>
    <row r="14" spans="1:18" x14ac:dyDescent="0.3">
      <c r="B14" s="631" t="s">
        <v>137</v>
      </c>
      <c r="C14" s="633" t="s">
        <v>375</v>
      </c>
      <c r="D14" s="633" t="s">
        <v>177</v>
      </c>
      <c r="E14" s="632" t="s">
        <v>149</v>
      </c>
      <c r="F14" s="632">
        <v>44742</v>
      </c>
      <c r="G14" s="663">
        <v>44991</v>
      </c>
      <c r="H14" s="633" t="s">
        <v>359</v>
      </c>
      <c r="I14" s="634">
        <v>51867.460000000006</v>
      </c>
      <c r="J14" s="634">
        <v>50247.262177409422</v>
      </c>
      <c r="K14" s="634">
        <v>50247.262177409422</v>
      </c>
      <c r="L14" s="634">
        <v>51867.460000000006</v>
      </c>
      <c r="M14" s="634">
        <v>4.7500000000000001E-2</v>
      </c>
      <c r="N14" s="636">
        <v>0.25</v>
      </c>
      <c r="O14" s="637">
        <v>7.8787875083632958E-3</v>
      </c>
      <c r="P14" s="637">
        <v>7.8787875083632958E-3</v>
      </c>
    </row>
    <row r="15" spans="1:18" x14ac:dyDescent="0.3">
      <c r="B15" s="631" t="s">
        <v>137</v>
      </c>
      <c r="C15" s="633" t="s">
        <v>376</v>
      </c>
      <c r="D15" s="633" t="s">
        <v>177</v>
      </c>
      <c r="E15" s="632" t="s">
        <v>149</v>
      </c>
      <c r="F15" s="632">
        <v>44742</v>
      </c>
      <c r="G15" s="663">
        <v>44928</v>
      </c>
      <c r="H15" s="633" t="s">
        <v>359</v>
      </c>
      <c r="I15" s="634">
        <v>207031.99999999997</v>
      </c>
      <c r="J15" s="634">
        <v>200887.68856206592</v>
      </c>
      <c r="K15" s="634">
        <v>200887.68856206592</v>
      </c>
      <c r="L15" s="634">
        <v>207031.99999999997</v>
      </c>
      <c r="M15" s="634">
        <v>0.06</v>
      </c>
      <c r="N15" s="636">
        <v>0.25</v>
      </c>
      <c r="O15" s="637">
        <v>3.1499256728426642E-2</v>
      </c>
      <c r="P15" s="637">
        <v>3.1499256728426642E-2</v>
      </c>
    </row>
    <row r="16" spans="1:18" x14ac:dyDescent="0.3">
      <c r="B16" s="631" t="s">
        <v>137</v>
      </c>
      <c r="C16" s="633" t="s">
        <v>377</v>
      </c>
      <c r="D16" s="633" t="s">
        <v>177</v>
      </c>
      <c r="E16" s="632" t="s">
        <v>149</v>
      </c>
      <c r="F16" s="632">
        <v>44742</v>
      </c>
      <c r="G16" s="663">
        <v>46435</v>
      </c>
      <c r="H16" s="633" t="s">
        <v>359</v>
      </c>
      <c r="I16" s="634">
        <v>399189.1500000002</v>
      </c>
      <c r="J16" s="634">
        <v>301783.57088057004</v>
      </c>
      <c r="K16" s="634">
        <v>301783.57088057004</v>
      </c>
      <c r="L16" s="634">
        <v>399189.1500000002</v>
      </c>
      <c r="M16" s="634">
        <v>7.0000000000000007E-2</v>
      </c>
      <c r="N16" s="636">
        <v>0.25</v>
      </c>
      <c r="O16" s="637">
        <v>4.731976480804332E-2</v>
      </c>
      <c r="P16" s="637">
        <v>4.731976480804332E-2</v>
      </c>
    </row>
    <row r="17" spans="2:18" x14ac:dyDescent="0.3">
      <c r="B17" s="631" t="s">
        <v>222</v>
      </c>
      <c r="C17" s="633" t="s">
        <v>378</v>
      </c>
      <c r="D17" s="633" t="s">
        <v>178</v>
      </c>
      <c r="E17" s="632" t="s">
        <v>149</v>
      </c>
      <c r="F17" s="632"/>
      <c r="G17" s="663"/>
      <c r="H17" s="633" t="s">
        <v>176</v>
      </c>
      <c r="I17" s="634">
        <v>3521261.6589899999</v>
      </c>
      <c r="J17" s="634">
        <v>3521261.6589899999</v>
      </c>
      <c r="K17" s="634">
        <v>3521261.6589899999</v>
      </c>
      <c r="L17" s="634">
        <v>3521261.6589899999</v>
      </c>
      <c r="M17" s="634">
        <v>0</v>
      </c>
      <c r="N17" s="636">
        <v>0.75</v>
      </c>
      <c r="O17" s="637">
        <v>0.55213500537750837</v>
      </c>
      <c r="P17" s="637">
        <v>0.55213500537750837</v>
      </c>
    </row>
    <row r="18" spans="2:18" ht="13.95" customHeight="1" x14ac:dyDescent="0.3">
      <c r="B18" s="631"/>
      <c r="C18" s="633"/>
      <c r="D18" s="633"/>
      <c r="E18" s="632"/>
      <c r="F18" s="632"/>
      <c r="G18" s="644"/>
      <c r="H18" s="634"/>
      <c r="I18" s="634"/>
      <c r="J18" s="634"/>
      <c r="K18" s="634"/>
      <c r="L18" s="634"/>
      <c r="M18" s="634"/>
      <c r="N18" s="636"/>
      <c r="O18" s="637"/>
      <c r="P18" s="637"/>
    </row>
    <row r="19" spans="2:18" s="1" customFormat="1" x14ac:dyDescent="0.3">
      <c r="B19" s="645"/>
      <c r="C19" s="646"/>
      <c r="D19" s="646"/>
      <c r="E19" s="647"/>
      <c r="F19" s="648"/>
      <c r="G19" s="649"/>
      <c r="H19" s="646"/>
      <c r="I19" s="650"/>
      <c r="J19" s="650"/>
      <c r="K19" s="650">
        <f>SUM(K5:K18)</f>
        <v>5868775.726915827</v>
      </c>
      <c r="L19" s="651"/>
      <c r="M19" s="650"/>
      <c r="N19" s="652"/>
      <c r="O19" s="653"/>
      <c r="P19" s="653"/>
      <c r="R19" s="2"/>
    </row>
    <row r="20" spans="2:18" x14ac:dyDescent="0.3">
      <c r="B20" s="18"/>
      <c r="C20" s="19"/>
      <c r="D20" s="19"/>
      <c r="E20" s="20"/>
      <c r="F20" s="21"/>
      <c r="G20" s="15"/>
      <c r="H20" s="18"/>
      <c r="I20" s="22"/>
      <c r="J20" s="22"/>
      <c r="K20" s="23"/>
      <c r="L20" s="22"/>
      <c r="M20" s="16"/>
      <c r="N20" s="24"/>
      <c r="O20" s="25"/>
      <c r="P20" s="25"/>
    </row>
    <row r="21" spans="2:18" ht="15.6" x14ac:dyDescent="0.3">
      <c r="B21" s="699"/>
      <c r="C21" s="699"/>
      <c r="D21" s="699"/>
      <c r="E21" s="699"/>
      <c r="F21" s="699"/>
      <c r="G21" s="699"/>
      <c r="H21" s="699"/>
      <c r="I21" s="699"/>
      <c r="J21" s="699"/>
      <c r="K21" s="699"/>
      <c r="L21" s="699"/>
      <c r="M21" s="699"/>
      <c r="N21" s="699"/>
      <c r="O21" s="699"/>
      <c r="P21" s="699"/>
    </row>
    <row r="22" spans="2:18" x14ac:dyDescent="0.3">
      <c r="B22" s="13" t="s">
        <v>195</v>
      </c>
      <c r="C22" s="14">
        <f>+C23+C26</f>
        <v>5868775.726915827</v>
      </c>
      <c r="D22" s="654" t="s">
        <v>367</v>
      </c>
      <c r="E22" s="655" t="s">
        <v>368</v>
      </c>
      <c r="F22" s="656"/>
      <c r="G22" s="656"/>
      <c r="H22" s="656"/>
      <c r="I22" s="656"/>
      <c r="J22" s="656"/>
      <c r="K22" s="655" t="s">
        <v>369</v>
      </c>
      <c r="L22" s="657"/>
    </row>
    <row r="23" spans="2:18" x14ac:dyDescent="0.3">
      <c r="B23" s="5" t="s">
        <v>197</v>
      </c>
      <c r="C23" s="6">
        <f>+C24+C25</f>
        <v>2347514.0679258266</v>
      </c>
      <c r="D23" s="658">
        <f>+'1.BG USD'!C14+'1.BG USD'!C31</f>
        <v>2347514.0300000003</v>
      </c>
      <c r="E23" s="658">
        <f>+D23-C23</f>
        <v>-3.7925826385617256E-2</v>
      </c>
      <c r="F23" s="658"/>
      <c r="G23" s="659"/>
      <c r="H23" s="656"/>
      <c r="I23" s="656"/>
      <c r="J23" s="656"/>
      <c r="K23" s="660">
        <f>+K19-C22</f>
        <v>0</v>
      </c>
      <c r="L23" s="657"/>
    </row>
    <row r="24" spans="2:18" x14ac:dyDescent="0.3">
      <c r="B24" s="7" t="s">
        <v>137</v>
      </c>
      <c r="C24" s="8">
        <f>+K7+K11+K12+K13+K14+K15+K16</f>
        <v>1335410.0282716115</v>
      </c>
      <c r="D24" s="658"/>
      <c r="E24" s="658"/>
      <c r="F24" s="658"/>
      <c r="G24" s="659"/>
      <c r="H24" s="656"/>
      <c r="I24" s="656"/>
      <c r="J24" s="660"/>
      <c r="K24" s="656"/>
      <c r="L24" s="657"/>
    </row>
    <row r="25" spans="2:18" x14ac:dyDescent="0.3">
      <c r="B25" s="7" t="s">
        <v>198</v>
      </c>
      <c r="C25" s="8">
        <f>+K5+K6+K8+K9+K10</f>
        <v>1012104.0396542153</v>
      </c>
      <c r="D25" s="658"/>
      <c r="E25" s="658"/>
      <c r="F25" s="658"/>
      <c r="G25" s="659"/>
      <c r="H25" s="656"/>
      <c r="I25" s="656"/>
      <c r="J25" s="656"/>
      <c r="K25" s="656"/>
      <c r="L25" s="657"/>
    </row>
    <row r="26" spans="2:18" x14ac:dyDescent="0.3">
      <c r="B26" s="5" t="s">
        <v>196</v>
      </c>
      <c r="C26" s="6">
        <f>+C27+C28</f>
        <v>3521261.6589899999</v>
      </c>
      <c r="D26" s="658">
        <f>+'1.BG USD'!C16</f>
        <v>3521261.66</v>
      </c>
      <c r="E26" s="658">
        <f>+D26-C26</f>
        <v>1.0100002400577068E-3</v>
      </c>
      <c r="F26" s="658"/>
      <c r="G26" s="659"/>
      <c r="H26" s="656"/>
      <c r="I26" s="656"/>
      <c r="J26" s="656"/>
      <c r="K26" s="656"/>
      <c r="L26" s="657"/>
    </row>
    <row r="27" spans="2:18" x14ac:dyDescent="0.3">
      <c r="B27" s="9" t="s">
        <v>194</v>
      </c>
      <c r="C27" s="10">
        <f>+J17</f>
        <v>3521261.6589899999</v>
      </c>
      <c r="D27" s="658"/>
      <c r="E27" s="658"/>
      <c r="F27" s="658"/>
      <c r="G27" s="659"/>
      <c r="H27" s="661"/>
      <c r="I27" s="662"/>
      <c r="J27" s="656"/>
      <c r="K27" s="662"/>
      <c r="L27" s="656"/>
    </row>
    <row r="28" spans="2:18" x14ac:dyDescent="0.3">
      <c r="B28" s="11"/>
      <c r="C28" s="12">
        <v>0</v>
      </c>
      <c r="D28" s="658"/>
      <c r="E28" s="658"/>
      <c r="F28" s="658"/>
      <c r="G28" s="659"/>
      <c r="H28" s="656"/>
      <c r="I28" s="656"/>
      <c r="J28" s="656"/>
      <c r="K28" s="656"/>
      <c r="L28" s="656"/>
    </row>
    <row r="29" spans="2:18" x14ac:dyDescent="0.3">
      <c r="C29" s="4"/>
      <c r="D29" s="659"/>
      <c r="E29" s="659"/>
      <c r="F29" s="659"/>
      <c r="G29" s="659"/>
      <c r="H29" s="656"/>
      <c r="I29" s="656"/>
      <c r="J29" s="656"/>
      <c r="K29" s="656"/>
      <c r="L29" s="656"/>
    </row>
    <row r="30" spans="2:18" x14ac:dyDescent="0.3">
      <c r="D30" s="659"/>
      <c r="E30" s="659"/>
      <c r="F30" s="659"/>
      <c r="G30" s="659"/>
      <c r="H30" s="656"/>
      <c r="I30" s="656"/>
      <c r="J30" s="656"/>
      <c r="K30" s="656"/>
      <c r="L30" s="656"/>
    </row>
    <row r="31" spans="2:18" x14ac:dyDescent="0.3">
      <c r="D31" s="656"/>
      <c r="E31" s="656"/>
      <c r="F31" s="656"/>
      <c r="G31" s="656"/>
      <c r="H31" s="656"/>
      <c r="I31" s="656"/>
      <c r="J31" s="656"/>
      <c r="K31" s="656"/>
      <c r="L31" s="656"/>
    </row>
  </sheetData>
  <autoFilter ref="B4:P19" xr:uid="{00000000-0001-0000-0B00-000000000000}"/>
  <mergeCells count="2">
    <mergeCell ref="B2:K2"/>
    <mergeCell ref="B21:P21"/>
  </mergeCells>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1"/>
  <sheetViews>
    <sheetView showGridLines="0" topLeftCell="A23" zoomScale="85" zoomScaleNormal="85" workbookViewId="0">
      <selection activeCell="D71" sqref="D71"/>
    </sheetView>
  </sheetViews>
  <sheetFormatPr baseColWidth="10" defaultColWidth="9.109375" defaultRowHeight="15.6" x14ac:dyDescent="0.35"/>
  <cols>
    <col min="1" max="1" width="8.88671875" style="262" customWidth="1"/>
    <col min="2" max="2" width="50.5546875" style="262" customWidth="1"/>
    <col min="3" max="3" width="23.6640625" style="336" customWidth="1"/>
    <col min="4" max="4" width="21.109375" style="337" customWidth="1"/>
    <col min="5" max="5" width="8.88671875" style="262" customWidth="1"/>
    <col min="6" max="6" width="15.88671875" style="289" customWidth="1"/>
    <col min="7" max="7" width="17.88671875" style="289" bestFit="1" customWidth="1"/>
    <col min="8" max="8" width="11.6640625" style="289" bestFit="1" customWidth="1"/>
    <col min="9" max="16384" width="9.109375" style="262"/>
  </cols>
  <sheetData>
    <row r="1" spans="1:8" s="288" customFormat="1" x14ac:dyDescent="0.35">
      <c r="A1" s="280"/>
      <c r="B1" s="284"/>
      <c r="C1" s="285"/>
      <c r="D1" s="286"/>
      <c r="E1" s="284"/>
      <c r="F1" s="287"/>
      <c r="G1" s="287"/>
      <c r="H1" s="287"/>
    </row>
    <row r="2" spans="1:8" s="288" customFormat="1" ht="26.4" x14ac:dyDescent="0.6">
      <c r="A2" s="280"/>
      <c r="B2" s="669" t="s">
        <v>168</v>
      </c>
      <c r="C2" s="669"/>
      <c r="D2" s="669"/>
      <c r="E2" s="669"/>
      <c r="F2" s="287"/>
      <c r="G2" s="287"/>
      <c r="H2" s="287"/>
    </row>
    <row r="3" spans="1:8" ht="21.75" customHeight="1" x14ac:dyDescent="0.55000000000000004">
      <c r="B3" s="667" t="s">
        <v>200</v>
      </c>
      <c r="C3" s="667"/>
      <c r="D3" s="667"/>
    </row>
    <row r="4" spans="1:8" ht="21.75" customHeight="1" x14ac:dyDescent="0.35">
      <c r="B4" s="670" t="s">
        <v>345</v>
      </c>
      <c r="C4" s="670"/>
      <c r="D4" s="670"/>
    </row>
    <row r="5" spans="1:8" x14ac:dyDescent="0.35">
      <c r="B5" s="668" t="s">
        <v>199</v>
      </c>
      <c r="C5" s="668"/>
      <c r="D5" s="668"/>
      <c r="F5" s="290"/>
      <c r="G5" s="290"/>
      <c r="H5" s="290"/>
    </row>
    <row r="6" spans="1:8" ht="21.75" customHeight="1" thickBot="1" x14ac:dyDescent="0.4">
      <c r="B6" s="291"/>
      <c r="C6" s="292"/>
      <c r="D6" s="291"/>
      <c r="F6" s="290"/>
      <c r="G6" s="290"/>
      <c r="H6" s="290"/>
    </row>
    <row r="7" spans="1:8" x14ac:dyDescent="0.35">
      <c r="B7" s="293" t="s">
        <v>37</v>
      </c>
      <c r="C7" s="294">
        <f>+INDICE!P3</f>
        <v>2022</v>
      </c>
      <c r="D7" s="295">
        <f>+INDICE!P2</f>
        <v>2021</v>
      </c>
      <c r="F7" s="290"/>
      <c r="G7" s="290"/>
      <c r="H7" s="290"/>
    </row>
    <row r="8" spans="1:8" ht="17.25" customHeight="1" x14ac:dyDescent="0.35">
      <c r="B8" s="296" t="s">
        <v>38</v>
      </c>
      <c r="C8" s="297"/>
      <c r="D8" s="298"/>
      <c r="F8" s="290"/>
      <c r="G8" s="299">
        <v>6979.36</v>
      </c>
      <c r="H8" s="290"/>
    </row>
    <row r="9" spans="1:8" ht="15" customHeight="1" x14ac:dyDescent="0.35">
      <c r="B9" s="296" t="s">
        <v>39</v>
      </c>
      <c r="C9" s="297"/>
      <c r="D9" s="300"/>
      <c r="F9" s="290"/>
      <c r="G9" s="290"/>
      <c r="H9" s="290"/>
    </row>
    <row r="10" spans="1:8" ht="14.25" customHeight="1" x14ac:dyDescent="0.35">
      <c r="B10" s="301" t="s">
        <v>157</v>
      </c>
      <c r="C10" s="302">
        <v>29886.45</v>
      </c>
      <c r="D10" s="303">
        <v>261013.46460722969</v>
      </c>
      <c r="F10" s="290"/>
      <c r="G10" s="290"/>
      <c r="H10" s="290"/>
    </row>
    <row r="11" spans="1:8" ht="14.25" customHeight="1" x14ac:dyDescent="0.35">
      <c r="B11" s="304"/>
      <c r="C11" s="305"/>
      <c r="D11" s="300"/>
      <c r="F11" s="290"/>
      <c r="G11" s="290"/>
      <c r="H11" s="290"/>
    </row>
    <row r="12" spans="1:8" x14ac:dyDescent="0.35">
      <c r="B12" s="301"/>
      <c r="C12" s="306">
        <f>SUM(C10:C11)</f>
        <v>29886.45</v>
      </c>
      <c r="D12" s="307">
        <v>261013.46460722969</v>
      </c>
      <c r="F12" s="290">
        <f>+C12-D12</f>
        <v>-231127.01460722968</v>
      </c>
      <c r="G12" s="290">
        <f>+F12*6895.8</f>
        <v>-1593805667.3285344</v>
      </c>
      <c r="H12" s="290"/>
    </row>
    <row r="13" spans="1:8" x14ac:dyDescent="0.35">
      <c r="B13" s="296" t="s">
        <v>41</v>
      </c>
      <c r="C13" s="305"/>
      <c r="D13" s="300"/>
      <c r="F13" s="290"/>
      <c r="G13" s="290"/>
      <c r="H13" s="290"/>
    </row>
    <row r="14" spans="1:8" x14ac:dyDescent="0.35">
      <c r="B14" s="304" t="s">
        <v>158</v>
      </c>
      <c r="C14" s="308">
        <v>473642.03</v>
      </c>
      <c r="D14" s="303">
        <v>57507.473645756458</v>
      </c>
      <c r="F14" s="290">
        <f>+C14-D14+C31-D31</f>
        <v>1505141.6558548845</v>
      </c>
      <c r="G14" s="290"/>
      <c r="H14" s="290"/>
    </row>
    <row r="15" spans="1:8" x14ac:dyDescent="0.35">
      <c r="B15" s="304" t="s">
        <v>43</v>
      </c>
      <c r="C15" s="305">
        <v>0</v>
      </c>
      <c r="D15" s="300">
        <v>0</v>
      </c>
      <c r="F15" s="290"/>
      <c r="G15" s="290"/>
      <c r="H15" s="290"/>
    </row>
    <row r="16" spans="1:8" x14ac:dyDescent="0.35">
      <c r="B16" s="304" t="s">
        <v>182</v>
      </c>
      <c r="C16" s="305">
        <v>3521261.66</v>
      </c>
      <c r="D16" s="300">
        <v>1635588.162531055</v>
      </c>
      <c r="F16" s="290"/>
      <c r="G16" s="290"/>
      <c r="H16" s="290"/>
    </row>
    <row r="17" spans="2:8" x14ac:dyDescent="0.35">
      <c r="B17" s="296"/>
      <c r="C17" s="306">
        <f>SUM(C14:C16)</f>
        <v>3994903.6900000004</v>
      </c>
      <c r="D17" s="307">
        <v>1693095.6361768115</v>
      </c>
      <c r="G17" s="290"/>
      <c r="H17" s="290"/>
    </row>
    <row r="18" spans="2:8" x14ac:dyDescent="0.35">
      <c r="B18" s="296" t="s">
        <v>179</v>
      </c>
      <c r="C18" s="305"/>
      <c r="D18" s="300"/>
      <c r="F18" s="290"/>
      <c r="G18" s="290"/>
      <c r="H18" s="290"/>
    </row>
    <row r="19" spans="2:8" x14ac:dyDescent="0.35">
      <c r="B19" s="304" t="s">
        <v>205</v>
      </c>
      <c r="C19" s="305">
        <v>0</v>
      </c>
      <c r="D19" s="300">
        <v>2910.8649489652603</v>
      </c>
      <c r="F19" s="290"/>
      <c r="G19" s="290"/>
      <c r="H19" s="290"/>
    </row>
    <row r="20" spans="2:8" x14ac:dyDescent="0.35">
      <c r="B20" s="304" t="s">
        <v>180</v>
      </c>
      <c r="C20" s="308">
        <v>201021.79</v>
      </c>
      <c r="D20" s="303">
        <v>104500.02677995752</v>
      </c>
      <c r="F20" s="290"/>
      <c r="G20" s="290"/>
      <c r="H20" s="290"/>
    </row>
    <row r="21" spans="2:8" x14ac:dyDescent="0.35">
      <c r="B21" s="304" t="s">
        <v>181</v>
      </c>
      <c r="C21" s="305">
        <v>221445.03</v>
      </c>
      <c r="D21" s="300">
        <v>0</v>
      </c>
      <c r="F21" s="290"/>
      <c r="G21" s="290"/>
      <c r="H21" s="290"/>
    </row>
    <row r="22" spans="2:8" x14ac:dyDescent="0.35">
      <c r="B22" s="296" t="s">
        <v>57</v>
      </c>
      <c r="C22" s="306">
        <f>SUM(C19:C21)</f>
        <v>422466.82</v>
      </c>
      <c r="D22" s="307">
        <v>107410.89172892278</v>
      </c>
      <c r="F22" s="290"/>
      <c r="G22" s="290"/>
      <c r="H22" s="290"/>
    </row>
    <row r="23" spans="2:8" x14ac:dyDescent="0.35">
      <c r="B23" s="296"/>
      <c r="C23" s="309"/>
      <c r="D23" s="310"/>
      <c r="F23" s="290"/>
      <c r="G23" s="290"/>
      <c r="H23" s="290"/>
    </row>
    <row r="24" spans="2:8" x14ac:dyDescent="0.35">
      <c r="B24" s="296" t="s">
        <v>206</v>
      </c>
      <c r="C24" s="305"/>
      <c r="D24" s="300"/>
      <c r="F24" s="290"/>
      <c r="G24" s="290"/>
      <c r="H24" s="290"/>
    </row>
    <row r="25" spans="2:8" x14ac:dyDescent="0.35">
      <c r="B25" s="304" t="s">
        <v>207</v>
      </c>
      <c r="C25" s="305">
        <v>117397.48</v>
      </c>
      <c r="D25" s="300">
        <v>186777.79596153848</v>
      </c>
      <c r="F25" s="290"/>
      <c r="G25" s="290"/>
      <c r="H25" s="290"/>
    </row>
    <row r="26" spans="2:8" x14ac:dyDescent="0.35">
      <c r="B26" s="304" t="s">
        <v>346</v>
      </c>
      <c r="C26" s="305">
        <v>9912.58</v>
      </c>
      <c r="D26" s="300">
        <v>0</v>
      </c>
      <c r="F26" s="290"/>
      <c r="G26" s="290"/>
      <c r="H26" s="290"/>
    </row>
    <row r="27" spans="2:8" x14ac:dyDescent="0.35">
      <c r="B27" s="296"/>
      <c r="C27" s="306">
        <f>SUM(C25:C26)</f>
        <v>127310.06</v>
      </c>
      <c r="D27" s="307">
        <v>186777.79596153848</v>
      </c>
      <c r="F27" s="290"/>
      <c r="G27" s="290"/>
      <c r="H27" s="290"/>
    </row>
    <row r="28" spans="2:8" ht="16.2" thickBot="1" x14ac:dyDescent="0.4">
      <c r="B28" s="296"/>
      <c r="C28" s="311">
        <f>+C27+C22+C17+C12</f>
        <v>4574567.0200000005</v>
      </c>
      <c r="D28" s="312">
        <v>2248297.7884745025</v>
      </c>
      <c r="F28" s="290"/>
      <c r="G28" s="290"/>
      <c r="H28" s="290"/>
    </row>
    <row r="29" spans="2:8" ht="16.2" thickTop="1" x14ac:dyDescent="0.35">
      <c r="B29" s="296" t="s">
        <v>44</v>
      </c>
      <c r="C29" s="309"/>
      <c r="D29" s="310"/>
      <c r="F29" s="290"/>
      <c r="G29" s="290"/>
      <c r="H29" s="290"/>
    </row>
    <row r="30" spans="2:8" x14ac:dyDescent="0.35">
      <c r="B30" s="296" t="s">
        <v>41</v>
      </c>
      <c r="C30" s="309"/>
      <c r="D30" s="310"/>
      <c r="F30" s="290"/>
      <c r="G30" s="290"/>
      <c r="H30" s="290"/>
    </row>
    <row r="31" spans="2:8" x14ac:dyDescent="0.35">
      <c r="B31" s="304" t="s">
        <v>158</v>
      </c>
      <c r="C31" s="313">
        <v>1873872</v>
      </c>
      <c r="D31" s="314">
        <v>784864.90049935889</v>
      </c>
      <c r="F31" s="290"/>
      <c r="G31" s="290"/>
      <c r="H31" s="290"/>
    </row>
    <row r="32" spans="2:8" x14ac:dyDescent="0.35">
      <c r="B32" s="304" t="s">
        <v>43</v>
      </c>
      <c r="C32" s="315">
        <v>0</v>
      </c>
      <c r="D32" s="316">
        <v>0</v>
      </c>
      <c r="F32" s="290"/>
      <c r="G32" s="290"/>
      <c r="H32" s="290"/>
    </row>
    <row r="33" spans="2:8" x14ac:dyDescent="0.35">
      <c r="B33" s="296"/>
      <c r="C33" s="309">
        <f>SUM(C31:C32)</f>
        <v>1873872</v>
      </c>
      <c r="D33" s="310">
        <v>784864.90049935889</v>
      </c>
      <c r="F33" s="317"/>
      <c r="G33" s="290"/>
      <c r="H33" s="318"/>
    </row>
    <row r="34" spans="2:8" x14ac:dyDescent="0.35">
      <c r="B34" s="296"/>
      <c r="C34" s="309"/>
      <c r="D34" s="310"/>
      <c r="F34" s="290"/>
      <c r="G34" s="290"/>
      <c r="H34" s="318"/>
    </row>
    <row r="35" spans="2:8" x14ac:dyDescent="0.35">
      <c r="B35" s="296" t="s">
        <v>215</v>
      </c>
      <c r="C35" s="309"/>
      <c r="D35" s="310"/>
      <c r="F35" s="290"/>
      <c r="G35" s="290"/>
      <c r="H35" s="318"/>
    </row>
    <row r="36" spans="2:8" x14ac:dyDescent="0.35">
      <c r="B36" s="304" t="s">
        <v>216</v>
      </c>
      <c r="C36" s="313">
        <v>26433.75</v>
      </c>
      <c r="D36" s="314">
        <v>0</v>
      </c>
      <c r="F36" s="290"/>
      <c r="G36" s="290"/>
      <c r="H36" s="318"/>
    </row>
    <row r="37" spans="2:8" x14ac:dyDescent="0.35">
      <c r="B37" s="304" t="s">
        <v>217</v>
      </c>
      <c r="C37" s="315">
        <v>0</v>
      </c>
      <c r="D37" s="316">
        <v>0</v>
      </c>
      <c r="F37" s="290"/>
      <c r="G37" s="290"/>
      <c r="H37" s="318"/>
    </row>
    <row r="38" spans="2:8" x14ac:dyDescent="0.35">
      <c r="B38" s="296"/>
      <c r="C38" s="309">
        <f>SUM(C36:C37)</f>
        <v>26433.75</v>
      </c>
      <c r="D38" s="310">
        <f>SUM(D36:D37)</f>
        <v>0</v>
      </c>
      <c r="F38" s="290"/>
      <c r="G38" s="290"/>
      <c r="H38" s="318"/>
    </row>
    <row r="39" spans="2:8" ht="16.2" thickBot="1" x14ac:dyDescent="0.4">
      <c r="B39" s="296"/>
      <c r="C39" s="311">
        <f>+C38+C33</f>
        <v>1900305.75</v>
      </c>
      <c r="D39" s="319">
        <f>+D38+D33</f>
        <v>784864.90049935889</v>
      </c>
      <c r="F39" s="290"/>
      <c r="G39" s="290"/>
      <c r="H39" s="318"/>
    </row>
    <row r="40" spans="2:8" ht="16.8" thickTop="1" thickBot="1" x14ac:dyDescent="0.4">
      <c r="B40" s="296" t="s">
        <v>45</v>
      </c>
      <c r="C40" s="311">
        <f>+C39+C28</f>
        <v>6474872.7700000005</v>
      </c>
      <c r="D40" s="319">
        <f>+D39+D28</f>
        <v>3033162.6889738613</v>
      </c>
      <c r="F40" s="290"/>
      <c r="G40" s="290"/>
      <c r="H40" s="290"/>
    </row>
    <row r="41" spans="2:8" ht="27.75" customHeight="1" thickTop="1" x14ac:dyDescent="0.35">
      <c r="B41" s="320" t="s">
        <v>46</v>
      </c>
      <c r="C41" s="321"/>
      <c r="D41" s="322"/>
      <c r="F41" s="290"/>
      <c r="G41" s="290"/>
      <c r="H41" s="290"/>
    </row>
    <row r="42" spans="2:8" x14ac:dyDescent="0.35">
      <c r="B42" s="296" t="s">
        <v>47</v>
      </c>
      <c r="C42" s="305"/>
      <c r="D42" s="300"/>
      <c r="F42" s="290"/>
      <c r="G42" s="290"/>
      <c r="H42" s="290"/>
    </row>
    <row r="43" spans="2:8" x14ac:dyDescent="0.35">
      <c r="B43" s="296" t="s">
        <v>48</v>
      </c>
      <c r="C43" s="305"/>
      <c r="D43" s="300"/>
      <c r="F43" s="290"/>
      <c r="G43" s="290"/>
      <c r="H43" s="290"/>
    </row>
    <row r="44" spans="2:8" x14ac:dyDescent="0.35">
      <c r="B44" s="301" t="s">
        <v>49</v>
      </c>
      <c r="C44" s="305">
        <v>49972.58</v>
      </c>
      <c r="D44" s="300">
        <v>59319.89</v>
      </c>
      <c r="F44" s="290"/>
      <c r="G44" s="290">
        <f>+C44-D44</f>
        <v>-9347.3099999999977</v>
      </c>
      <c r="H44" s="290"/>
    </row>
    <row r="45" spans="2:8" x14ac:dyDescent="0.35">
      <c r="B45" s="304" t="s">
        <v>184</v>
      </c>
      <c r="C45" s="305">
        <f>45202.77+2160</f>
        <v>47362.77</v>
      </c>
      <c r="D45" s="300">
        <v>9040.9599999999991</v>
      </c>
      <c r="F45" s="290"/>
      <c r="G45" s="290"/>
      <c r="H45" s="290"/>
    </row>
    <row r="46" spans="2:8" ht="15.75" customHeight="1" x14ac:dyDescent="0.35">
      <c r="B46" s="296" t="s">
        <v>50</v>
      </c>
      <c r="C46" s="306">
        <f>SUM(C44:C45)</f>
        <v>97335.35</v>
      </c>
      <c r="D46" s="307">
        <v>68360.850000000006</v>
      </c>
      <c r="F46" s="290"/>
      <c r="G46" s="290"/>
      <c r="H46" s="290"/>
    </row>
    <row r="47" spans="2:8" ht="15.75" customHeight="1" x14ac:dyDescent="0.35">
      <c r="B47" s="296"/>
      <c r="C47" s="309"/>
      <c r="D47" s="310"/>
      <c r="F47" s="290"/>
      <c r="G47" s="290"/>
      <c r="H47" s="290"/>
    </row>
    <row r="48" spans="2:8" x14ac:dyDescent="0.35">
      <c r="B48" s="296" t="s">
        <v>183</v>
      </c>
      <c r="C48" s="309">
        <v>6000000</v>
      </c>
      <c r="D48" s="310">
        <v>2860000</v>
      </c>
      <c r="F48" s="290"/>
      <c r="G48" s="290"/>
      <c r="H48" s="290"/>
    </row>
    <row r="49" spans="2:8" x14ac:dyDescent="0.35">
      <c r="B49" s="296" t="s">
        <v>19</v>
      </c>
      <c r="C49" s="309">
        <f>+C50+C51</f>
        <v>377537.42</v>
      </c>
      <c r="D49" s="323">
        <f>+D50+D51</f>
        <v>104801.83916848601</v>
      </c>
      <c r="F49" s="318"/>
      <c r="G49" s="290"/>
      <c r="H49" s="290"/>
    </row>
    <row r="50" spans="2:8" x14ac:dyDescent="0.35">
      <c r="B50" s="304" t="s">
        <v>164</v>
      </c>
      <c r="C50" s="313">
        <v>0</v>
      </c>
      <c r="D50" s="300">
        <v>0</v>
      </c>
      <c r="F50" s="318"/>
      <c r="G50" s="290"/>
      <c r="H50" s="290"/>
    </row>
    <row r="51" spans="2:8" x14ac:dyDescent="0.35">
      <c r="B51" s="304" t="s">
        <v>218</v>
      </c>
      <c r="C51" s="313">
        <v>377537.42</v>
      </c>
      <c r="D51" s="300">
        <v>104801.83916848601</v>
      </c>
      <c r="F51" s="318"/>
      <c r="G51" s="290"/>
      <c r="H51" s="290"/>
    </row>
    <row r="52" spans="2:8" x14ac:dyDescent="0.35">
      <c r="B52" s="296" t="s">
        <v>51</v>
      </c>
      <c r="C52" s="324">
        <f>SUM(C48:C49)</f>
        <v>6377537.4199999999</v>
      </c>
      <c r="D52" s="325">
        <f>SUM(D48:D49)</f>
        <v>2964801.8391684862</v>
      </c>
      <c r="F52" s="326"/>
      <c r="G52" s="290"/>
      <c r="H52" s="290"/>
    </row>
    <row r="53" spans="2:8" ht="16.2" thickBot="1" x14ac:dyDescent="0.4">
      <c r="B53" s="296" t="s">
        <v>52</v>
      </c>
      <c r="C53" s="311">
        <f>+C46+C52</f>
        <v>6474872.7699999996</v>
      </c>
      <c r="D53" s="312">
        <f>+D46+D52</f>
        <v>3033162.6891684863</v>
      </c>
      <c r="F53" s="327"/>
      <c r="G53" s="290"/>
      <c r="H53" s="290"/>
    </row>
    <row r="54" spans="2:8" ht="16.2" thickTop="1" x14ac:dyDescent="0.35">
      <c r="B54" s="304" t="s">
        <v>53</v>
      </c>
      <c r="C54" s="305">
        <f>+C48/1000</f>
        <v>6000</v>
      </c>
      <c r="D54" s="300">
        <v>2860</v>
      </c>
    </row>
    <row r="55" spans="2:8" x14ac:dyDescent="0.35">
      <c r="B55" s="304" t="s">
        <v>54</v>
      </c>
      <c r="C55" s="305">
        <f>+C52/C54</f>
        <v>1062.9229033333334</v>
      </c>
      <c r="D55" s="300">
        <f>+D52/D54</f>
        <v>1036.6439997092609</v>
      </c>
    </row>
    <row r="56" spans="2:8" ht="16.2" thickBot="1" x14ac:dyDescent="0.4">
      <c r="B56" s="328" t="s">
        <v>55</v>
      </c>
      <c r="C56" s="329">
        <f>+C54*C55</f>
        <v>6377537.4199999999</v>
      </c>
      <c r="D56" s="312">
        <f>+D54*D55</f>
        <v>2964801.8391684862</v>
      </c>
    </row>
    <row r="57" spans="2:8" ht="16.8" thickTop="1" thickBot="1" x14ac:dyDescent="0.4">
      <c r="B57" s="330"/>
      <c r="C57" s="331"/>
      <c r="D57" s="332"/>
    </row>
    <row r="58" spans="2:8" x14ac:dyDescent="0.35">
      <c r="B58" s="333"/>
      <c r="C58" s="334"/>
      <c r="D58" s="335"/>
    </row>
    <row r="59" spans="2:8" x14ac:dyDescent="0.35">
      <c r="B59" s="280" t="s">
        <v>159</v>
      </c>
    </row>
    <row r="61" spans="2:8" x14ac:dyDescent="0.35">
      <c r="D61" s="336"/>
    </row>
    <row r="71" ht="21" customHeight="1" x14ac:dyDescent="0.35"/>
  </sheetData>
  <mergeCells count="4">
    <mergeCell ref="B3:D3"/>
    <mergeCell ref="B5:D5"/>
    <mergeCell ref="B2:E2"/>
    <mergeCell ref="B4:D4"/>
  </mergeCells>
  <pageMargins left="0.25" right="0.25" top="0.75" bottom="0.75" header="0.3" footer="0.3"/>
  <pageSetup paperSize="9" scale="69" orientation="portrait" r:id="rId1"/>
  <ignoredErrors>
    <ignoredError sqref="C12"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48"/>
  <sheetViews>
    <sheetView showGridLines="0" topLeftCell="A9" workbookViewId="0">
      <selection activeCell="A32" sqref="A32"/>
    </sheetView>
  </sheetViews>
  <sheetFormatPr baseColWidth="10" defaultColWidth="9.109375" defaultRowHeight="15.6" x14ac:dyDescent="0.35"/>
  <cols>
    <col min="1" max="1" width="11.44140625" style="262" customWidth="1"/>
    <col min="2" max="2" width="54.109375" style="262" customWidth="1"/>
    <col min="3" max="3" width="24.5546875" style="262" customWidth="1"/>
    <col min="4" max="4" width="12.88671875" style="262" customWidth="1"/>
    <col min="5" max="5" width="16" style="262" customWidth="1"/>
    <col min="6" max="6" width="14.44140625" style="289" customWidth="1"/>
    <col min="7" max="7" width="11.88671875" style="289" customWidth="1"/>
    <col min="8" max="9" width="10.109375" style="289" bestFit="1" customWidth="1"/>
    <col min="10" max="10" width="9.109375" style="289"/>
    <col min="11" max="16384" width="9.109375" style="262"/>
  </cols>
  <sheetData>
    <row r="1" spans="2:5" x14ac:dyDescent="0.35">
      <c r="B1" s="284"/>
      <c r="C1" s="338"/>
      <c r="D1" s="284"/>
      <c r="E1" s="284"/>
    </row>
    <row r="2" spans="2:5" ht="26.4" x14ac:dyDescent="0.6">
      <c r="B2" s="675" t="s">
        <v>168</v>
      </c>
      <c r="C2" s="675"/>
      <c r="D2" s="675"/>
      <c r="E2" s="675"/>
    </row>
    <row r="3" spans="2:5" ht="24" x14ac:dyDescent="0.55000000000000004">
      <c r="B3" s="667" t="s">
        <v>201</v>
      </c>
      <c r="C3" s="667"/>
      <c r="D3" s="667"/>
    </row>
    <row r="4" spans="2:5" x14ac:dyDescent="0.35">
      <c r="B4" s="670" t="s">
        <v>348</v>
      </c>
      <c r="C4" s="670"/>
      <c r="D4" s="670"/>
    </row>
    <row r="5" spans="2:5" x14ac:dyDescent="0.35">
      <c r="B5" s="668" t="s">
        <v>199</v>
      </c>
      <c r="C5" s="668"/>
      <c r="D5" s="668"/>
    </row>
    <row r="6" spans="2:5" ht="24.6" thickBot="1" x14ac:dyDescent="0.6">
      <c r="B6" s="339"/>
      <c r="C6" s="339"/>
      <c r="D6" s="339"/>
    </row>
    <row r="7" spans="2:5" x14ac:dyDescent="0.35">
      <c r="B7" s="340"/>
      <c r="C7" s="671">
        <f>+INDICE!P3</f>
        <v>2022</v>
      </c>
      <c r="D7" s="673">
        <f>+INDICE!P2</f>
        <v>2021</v>
      </c>
    </row>
    <row r="8" spans="2:5" ht="9" customHeight="1" x14ac:dyDescent="0.35">
      <c r="B8" s="341"/>
      <c r="C8" s="672"/>
      <c r="D8" s="674"/>
    </row>
    <row r="9" spans="2:5" x14ac:dyDescent="0.35">
      <c r="B9" s="296" t="s">
        <v>25</v>
      </c>
      <c r="C9" s="342"/>
      <c r="D9" s="303"/>
    </row>
    <row r="10" spans="2:5" x14ac:dyDescent="0.35">
      <c r="B10" s="301"/>
      <c r="C10" s="342"/>
      <c r="D10" s="303"/>
    </row>
    <row r="11" spans="2:5" x14ac:dyDescent="0.35">
      <c r="B11" s="296" t="s">
        <v>26</v>
      </c>
      <c r="C11" s="342"/>
      <c r="D11" s="303"/>
    </row>
    <row r="12" spans="2:5" x14ac:dyDescent="0.35">
      <c r="B12" s="304" t="s">
        <v>27</v>
      </c>
      <c r="C12" s="343">
        <v>59216.81</v>
      </c>
      <c r="D12" s="344">
        <v>0</v>
      </c>
    </row>
    <row r="13" spans="2:5" x14ac:dyDescent="0.35">
      <c r="B13" s="345" t="s">
        <v>28</v>
      </c>
      <c r="C13" s="343">
        <v>171.85</v>
      </c>
      <c r="D13" s="344">
        <v>0</v>
      </c>
    </row>
    <row r="14" spans="2:5" x14ac:dyDescent="0.35">
      <c r="B14" s="345" t="s">
        <v>208</v>
      </c>
      <c r="C14" s="346">
        <v>612012.78</v>
      </c>
      <c r="D14" s="347">
        <v>0</v>
      </c>
    </row>
    <row r="15" spans="2:5" x14ac:dyDescent="0.35">
      <c r="B15" s="296" t="s">
        <v>29</v>
      </c>
      <c r="C15" s="348">
        <f>SUM(C12:C14)</f>
        <v>671401.44000000006</v>
      </c>
      <c r="D15" s="349">
        <f>SUM(D12:D13)</f>
        <v>0</v>
      </c>
    </row>
    <row r="16" spans="2:5" ht="21.75" customHeight="1" x14ac:dyDescent="0.35">
      <c r="B16" s="296" t="s">
        <v>30</v>
      </c>
      <c r="C16" s="343"/>
      <c r="D16" s="350"/>
    </row>
    <row r="17" spans="2:7" x14ac:dyDescent="0.35">
      <c r="B17" s="345" t="s">
        <v>31</v>
      </c>
      <c r="C17" s="343">
        <v>220567.74</v>
      </c>
      <c r="D17" s="344">
        <v>0</v>
      </c>
      <c r="E17" s="351"/>
    </row>
    <row r="18" spans="2:7" hidden="1" x14ac:dyDescent="0.35">
      <c r="B18" s="352" t="s">
        <v>32</v>
      </c>
      <c r="C18" s="343"/>
      <c r="D18" s="344"/>
    </row>
    <row r="19" spans="2:7" x14ac:dyDescent="0.35">
      <c r="B19" s="345" t="s">
        <v>160</v>
      </c>
      <c r="C19" s="343">
        <v>229.07</v>
      </c>
      <c r="D19" s="344">
        <v>0</v>
      </c>
    </row>
    <row r="20" spans="2:7" x14ac:dyDescent="0.35">
      <c r="B20" s="304" t="s">
        <v>34</v>
      </c>
      <c r="C20" s="343">
        <f>87110.49</f>
        <v>87110.49</v>
      </c>
      <c r="D20" s="344">
        <v>0</v>
      </c>
    </row>
    <row r="21" spans="2:7" x14ac:dyDescent="0.35">
      <c r="B21" s="304" t="s">
        <v>209</v>
      </c>
      <c r="C21" s="343">
        <v>60999.59</v>
      </c>
      <c r="D21" s="344">
        <v>0</v>
      </c>
    </row>
    <row r="22" spans="2:7" x14ac:dyDescent="0.35">
      <c r="B22" s="304" t="s">
        <v>352</v>
      </c>
      <c r="C22" s="343">
        <v>-75042.87</v>
      </c>
      <c r="D22" s="344"/>
    </row>
    <row r="23" spans="2:7" x14ac:dyDescent="0.35">
      <c r="B23" s="353" t="s">
        <v>35</v>
      </c>
      <c r="C23" s="354">
        <f>SUM(C17:C22)</f>
        <v>293864.02</v>
      </c>
      <c r="D23" s="355">
        <f>SUM(D17:D21)</f>
        <v>0</v>
      </c>
    </row>
    <row r="24" spans="2:7" ht="16.2" thickBot="1" x14ac:dyDescent="0.4">
      <c r="B24" s="353" t="s">
        <v>36</v>
      </c>
      <c r="C24" s="356">
        <f>+C15-C23</f>
        <v>377537.42000000004</v>
      </c>
      <c r="D24" s="357">
        <f>+D15-D23</f>
        <v>0</v>
      </c>
      <c r="G24" s="358"/>
    </row>
    <row r="25" spans="2:7" ht="16.2" thickTop="1" x14ac:dyDescent="0.35">
      <c r="B25" s="352"/>
      <c r="C25" s="606"/>
      <c r="D25" s="359"/>
    </row>
    <row r="26" spans="2:7" ht="16.2" thickBot="1" x14ac:dyDescent="0.4">
      <c r="B26" s="360"/>
      <c r="C26" s="361"/>
      <c r="D26" s="362"/>
      <c r="F26" s="363"/>
    </row>
    <row r="27" spans="2:7" x14ac:dyDescent="0.35">
      <c r="B27" s="364"/>
      <c r="C27" s="365">
        <f>+C24-'1.BG USD'!C51</f>
        <v>0</v>
      </c>
      <c r="D27" s="366"/>
    </row>
    <row r="28" spans="2:7" x14ac:dyDescent="0.35">
      <c r="B28" s="280" t="s">
        <v>159</v>
      </c>
      <c r="C28" s="351"/>
      <c r="D28" s="351"/>
    </row>
    <row r="29" spans="2:7" x14ac:dyDescent="0.35">
      <c r="B29" s="333"/>
      <c r="C29" s="351"/>
      <c r="D29" s="351"/>
    </row>
    <row r="30" spans="2:7" x14ac:dyDescent="0.35">
      <c r="B30" s="367"/>
      <c r="C30" s="351"/>
      <c r="D30" s="351"/>
    </row>
    <row r="31" spans="2:7" x14ac:dyDescent="0.35">
      <c r="B31" s="333"/>
      <c r="C31" s="351"/>
      <c r="D31" s="351"/>
    </row>
    <row r="32" spans="2:7" x14ac:dyDescent="0.35">
      <c r="B32" s="367"/>
      <c r="C32" s="368"/>
      <c r="D32" s="368"/>
    </row>
    <row r="33" spans="2:4" x14ac:dyDescent="0.35">
      <c r="B33" s="367"/>
      <c r="C33" s="351"/>
      <c r="D33" s="351"/>
    </row>
    <row r="34" spans="2:4" x14ac:dyDescent="0.35">
      <c r="B34" s="288"/>
      <c r="C34" s="351"/>
      <c r="D34" s="351"/>
    </row>
    <row r="35" spans="2:4" x14ac:dyDescent="0.35">
      <c r="B35" s="367"/>
      <c r="C35" s="351"/>
      <c r="D35" s="351"/>
    </row>
    <row r="36" spans="2:4" x14ac:dyDescent="0.35">
      <c r="B36" s="288"/>
      <c r="C36" s="351"/>
      <c r="D36" s="351"/>
    </row>
    <row r="37" spans="2:4" x14ac:dyDescent="0.35">
      <c r="B37" s="367"/>
      <c r="C37" s="368"/>
      <c r="D37" s="368"/>
    </row>
    <row r="38" spans="2:4" x14ac:dyDescent="0.35">
      <c r="B38" s="288"/>
      <c r="C38" s="351"/>
      <c r="D38" s="351"/>
    </row>
    <row r="39" spans="2:4" x14ac:dyDescent="0.35">
      <c r="B39" s="367"/>
      <c r="C39" s="351"/>
      <c r="D39" s="351"/>
    </row>
    <row r="40" spans="2:4" x14ac:dyDescent="0.35">
      <c r="B40" s="367"/>
      <c r="C40" s="351"/>
      <c r="D40" s="351"/>
    </row>
    <row r="41" spans="2:4" x14ac:dyDescent="0.35">
      <c r="B41" s="367"/>
      <c r="C41" s="351"/>
      <c r="D41" s="351"/>
    </row>
    <row r="42" spans="2:4" x14ac:dyDescent="0.35">
      <c r="B42" s="367"/>
      <c r="C42" s="368"/>
      <c r="D42" s="368"/>
    </row>
    <row r="44" spans="2:4" x14ac:dyDescent="0.35">
      <c r="C44" s="351"/>
      <c r="D44" s="351"/>
    </row>
    <row r="46" spans="2:4" x14ac:dyDescent="0.35">
      <c r="C46" s="351"/>
    </row>
    <row r="47" spans="2:4" x14ac:dyDescent="0.35">
      <c r="C47" s="351"/>
    </row>
    <row r="48" spans="2:4" x14ac:dyDescent="0.35">
      <c r="C48" s="351"/>
    </row>
  </sheetData>
  <mergeCells count="6">
    <mergeCell ref="B3:D3"/>
    <mergeCell ref="C7:C8"/>
    <mergeCell ref="D7:D8"/>
    <mergeCell ref="B2:E2"/>
    <mergeCell ref="B4:D4"/>
    <mergeCell ref="B5:D5"/>
  </mergeCells>
  <pageMargins left="0.25" right="0.25" top="0.75" bottom="0.75" header="0.3" footer="0.3"/>
  <pageSetup paperSize="9" scale="75" orientation="portrait" r:id="rId1"/>
  <ignoredErrors>
    <ignoredError sqref="D2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workbookViewId="0">
      <selection activeCell="A32" sqref="A32"/>
    </sheetView>
  </sheetViews>
  <sheetFormatPr baseColWidth="10" defaultColWidth="9.109375" defaultRowHeight="15.6" x14ac:dyDescent="0.35"/>
  <cols>
    <col min="1" max="1" width="5.6640625" style="262" customWidth="1"/>
    <col min="2" max="2" width="39.5546875" style="262" customWidth="1"/>
    <col min="3" max="3" width="25.6640625" style="262" customWidth="1"/>
    <col min="4" max="4" width="18.88671875" style="262" customWidth="1"/>
    <col min="5" max="5" width="42.44140625" style="262" customWidth="1"/>
    <col min="6" max="6" width="7.44140625" style="262" customWidth="1"/>
    <col min="7" max="7" width="13" style="262" bestFit="1" customWidth="1"/>
    <col min="8" max="8" width="10.109375" style="289" bestFit="1" customWidth="1"/>
    <col min="9" max="11" width="12.44140625" style="262" customWidth="1"/>
    <col min="12" max="16384" width="9.109375" style="262"/>
  </cols>
  <sheetData>
    <row r="1" spans="1:11" x14ac:dyDescent="0.35">
      <c r="A1" s="369"/>
      <c r="B1" s="370"/>
      <c r="C1" s="370"/>
      <c r="D1" s="370"/>
    </row>
    <row r="2" spans="1:11" ht="26.4" x14ac:dyDescent="0.6">
      <c r="A2" s="370"/>
      <c r="B2" s="675" t="s">
        <v>168</v>
      </c>
      <c r="C2" s="675"/>
      <c r="D2" s="675"/>
      <c r="E2" s="675"/>
      <c r="F2" s="371"/>
      <c r="G2" s="370"/>
      <c r="H2" s="372"/>
      <c r="I2" s="370"/>
      <c r="J2" s="370"/>
      <c r="K2" s="370"/>
    </row>
    <row r="3" spans="1:11" ht="26.4" x14ac:dyDescent="0.6">
      <c r="A3" s="369"/>
      <c r="B3" s="678" t="s">
        <v>16</v>
      </c>
      <c r="C3" s="678"/>
      <c r="D3" s="678"/>
      <c r="E3" s="678"/>
      <c r="F3" s="369"/>
      <c r="G3" s="369"/>
      <c r="H3" s="369"/>
      <c r="I3" s="373"/>
      <c r="J3" s="373"/>
      <c r="K3" s="373"/>
    </row>
    <row r="4" spans="1:11" x14ac:dyDescent="0.35">
      <c r="A4" s="373"/>
      <c r="B4" s="670" t="s">
        <v>348</v>
      </c>
      <c r="C4" s="670"/>
      <c r="D4" s="670"/>
      <c r="E4" s="670"/>
      <c r="F4" s="370"/>
      <c r="G4" s="370"/>
      <c r="H4" s="370"/>
      <c r="I4" s="373"/>
      <c r="J4" s="373"/>
      <c r="K4" s="373"/>
    </row>
    <row r="5" spans="1:11" x14ac:dyDescent="0.35">
      <c r="A5" s="373"/>
      <c r="B5" s="668" t="s">
        <v>199</v>
      </c>
      <c r="C5" s="668"/>
      <c r="D5" s="668"/>
      <c r="E5" s="668"/>
      <c r="F5" s="370"/>
      <c r="G5" s="370"/>
      <c r="H5" s="370"/>
      <c r="I5" s="373"/>
      <c r="J5" s="373"/>
      <c r="K5" s="373"/>
    </row>
    <row r="6" spans="1:11" x14ac:dyDescent="0.35">
      <c r="A6" s="373"/>
      <c r="B6" s="676"/>
      <c r="C6" s="676"/>
      <c r="D6" s="676"/>
      <c r="E6" s="676"/>
      <c r="F6" s="676"/>
      <c r="G6" s="676"/>
      <c r="H6" s="676"/>
      <c r="I6" s="373"/>
      <c r="J6" s="373"/>
      <c r="K6" s="373"/>
    </row>
    <row r="7" spans="1:11" x14ac:dyDescent="0.35">
      <c r="A7" s="373"/>
      <c r="B7" s="374" t="s">
        <v>17</v>
      </c>
      <c r="C7" s="375" t="s">
        <v>18</v>
      </c>
      <c r="D7" s="374" t="s">
        <v>19</v>
      </c>
      <c r="E7" s="376" t="s">
        <v>349</v>
      </c>
      <c r="F7" s="373"/>
      <c r="G7" s="373"/>
      <c r="H7" s="377"/>
      <c r="I7" s="373"/>
      <c r="J7" s="373"/>
      <c r="K7" s="373"/>
    </row>
    <row r="8" spans="1:11" x14ac:dyDescent="0.35">
      <c r="A8" s="373"/>
      <c r="B8" s="378" t="s">
        <v>20</v>
      </c>
      <c r="C8" s="379">
        <f>+'1.BG USD'!D48</f>
        <v>2860000</v>
      </c>
      <c r="D8" s="380">
        <f>+'1.BG USD'!D49</f>
        <v>104801.83916848601</v>
      </c>
      <c r="E8" s="381">
        <f t="shared" ref="E8:E12" si="0">+C8+D8</f>
        <v>2964801.8391684862</v>
      </c>
      <c r="F8" s="373"/>
      <c r="G8" s="373"/>
      <c r="H8" s="377"/>
      <c r="I8" s="373"/>
      <c r="J8" s="373"/>
      <c r="K8" s="382"/>
    </row>
    <row r="9" spans="1:11" x14ac:dyDescent="0.35">
      <c r="B9" s="383"/>
      <c r="C9" s="384"/>
      <c r="D9" s="384"/>
      <c r="E9" s="385"/>
    </row>
    <row r="10" spans="1:11" x14ac:dyDescent="0.35">
      <c r="A10" s="280"/>
      <c r="B10" s="383" t="s">
        <v>21</v>
      </c>
      <c r="C10" s="386"/>
      <c r="D10" s="386"/>
      <c r="E10" s="385"/>
      <c r="F10" s="387"/>
      <c r="G10" s="387"/>
      <c r="H10" s="388"/>
      <c r="I10" s="387"/>
      <c r="J10" s="387"/>
      <c r="K10" s="387"/>
    </row>
    <row r="11" spans="1:11" x14ac:dyDescent="0.35">
      <c r="A11" s="280"/>
      <c r="B11" s="389" t="s">
        <v>13</v>
      </c>
      <c r="C11" s="386">
        <f>+C16-C8</f>
        <v>3140000</v>
      </c>
      <c r="D11" s="386">
        <v>0</v>
      </c>
      <c r="E11" s="385">
        <v>0</v>
      </c>
      <c r="F11" s="387"/>
      <c r="G11" s="387"/>
      <c r="H11" s="388"/>
      <c r="I11" s="387"/>
      <c r="J11" s="387"/>
      <c r="K11" s="387"/>
    </row>
    <row r="12" spans="1:11" x14ac:dyDescent="0.35">
      <c r="A12" s="382"/>
      <c r="B12" s="390" t="s">
        <v>22</v>
      </c>
      <c r="C12" s="385">
        <v>0</v>
      </c>
      <c r="D12" s="385">
        <v>0</v>
      </c>
      <c r="E12" s="385">
        <f t="shared" si="0"/>
        <v>0</v>
      </c>
      <c r="F12" s="391"/>
      <c r="G12" s="382"/>
      <c r="H12" s="392"/>
      <c r="I12" s="391"/>
      <c r="J12" s="393"/>
      <c r="K12" s="393"/>
    </row>
    <row r="13" spans="1:11" x14ac:dyDescent="0.35">
      <c r="A13" s="382"/>
      <c r="B13" s="390" t="s">
        <v>161</v>
      </c>
      <c r="C13" s="394">
        <v>0</v>
      </c>
      <c r="D13" s="385">
        <v>0</v>
      </c>
      <c r="E13" s="385">
        <f>+C13+D13</f>
        <v>0</v>
      </c>
      <c r="F13" s="391"/>
      <c r="G13" s="382"/>
      <c r="H13" s="392"/>
      <c r="I13" s="391"/>
      <c r="J13" s="393"/>
      <c r="K13" s="393"/>
    </row>
    <row r="14" spans="1:11" x14ac:dyDescent="0.35">
      <c r="A14" s="382"/>
      <c r="B14" s="390" t="s">
        <v>164</v>
      </c>
      <c r="C14" s="394">
        <v>0</v>
      </c>
      <c r="D14" s="385">
        <v>0</v>
      </c>
      <c r="E14" s="385">
        <v>0</v>
      </c>
      <c r="F14" s="391"/>
      <c r="G14" s="382"/>
      <c r="H14" s="392"/>
      <c r="I14" s="391"/>
      <c r="J14" s="393"/>
      <c r="K14" s="393"/>
    </row>
    <row r="15" spans="1:11" x14ac:dyDescent="0.35">
      <c r="A15" s="280"/>
      <c r="B15" s="395" t="s">
        <v>23</v>
      </c>
      <c r="C15" s="396">
        <v>0</v>
      </c>
      <c r="D15" s="385">
        <f>+D16-D8</f>
        <v>272735.58083151397</v>
      </c>
      <c r="E15" s="385">
        <v>0</v>
      </c>
      <c r="F15" s="280"/>
      <c r="G15" s="280"/>
      <c r="H15" s="317"/>
      <c r="I15" s="280"/>
      <c r="J15" s="280"/>
      <c r="K15" s="280"/>
    </row>
    <row r="16" spans="1:11" x14ac:dyDescent="0.35">
      <c r="A16" s="280"/>
      <c r="B16" s="397" t="s">
        <v>24</v>
      </c>
      <c r="C16" s="398">
        <f>+'1.BG USD'!C48</f>
        <v>6000000</v>
      </c>
      <c r="D16" s="398">
        <f>+'1.BG USD'!C49</f>
        <v>377537.42</v>
      </c>
      <c r="E16" s="376" t="s">
        <v>347</v>
      </c>
      <c r="F16" s="399"/>
      <c r="G16" s="317"/>
      <c r="H16" s="317"/>
      <c r="I16" s="399"/>
      <c r="J16" s="399"/>
      <c r="K16" s="399"/>
    </row>
    <row r="17" spans="1:13" ht="22.5" customHeight="1" thickBot="1" x14ac:dyDescent="0.4">
      <c r="A17" s="280"/>
      <c r="B17" s="376"/>
      <c r="C17" s="400"/>
      <c r="D17" s="400"/>
      <c r="E17" s="401">
        <f>+C16+D16</f>
        <v>6377537.4199999999</v>
      </c>
      <c r="F17" s="399"/>
      <c r="G17" s="317"/>
      <c r="H17" s="317"/>
      <c r="I17" s="399"/>
      <c r="J17" s="399"/>
      <c r="K17" s="399"/>
      <c r="M17" s="351"/>
    </row>
    <row r="18" spans="1:13" ht="16.2" thickTop="1" x14ac:dyDescent="0.35">
      <c r="A18" s="402"/>
      <c r="B18" s="399"/>
      <c r="C18" s="399"/>
      <c r="D18" s="399"/>
      <c r="E18" s="317"/>
      <c r="F18" s="399"/>
      <c r="G18" s="317"/>
      <c r="H18" s="317"/>
      <c r="I18" s="399"/>
      <c r="J18" s="399"/>
      <c r="K18" s="399"/>
      <c r="M18" s="351"/>
    </row>
    <row r="19" spans="1:13" x14ac:dyDescent="0.35">
      <c r="A19" s="280"/>
      <c r="B19" s="280" t="s">
        <v>159</v>
      </c>
      <c r="C19" s="399"/>
      <c r="D19" s="399"/>
      <c r="E19" s="403"/>
      <c r="F19" s="399"/>
      <c r="G19" s="399"/>
      <c r="H19" s="317"/>
      <c r="I19" s="399"/>
      <c r="J19" s="399"/>
      <c r="K19" s="399"/>
    </row>
    <row r="20" spans="1:13" x14ac:dyDescent="0.35">
      <c r="A20" s="280"/>
      <c r="B20" s="333"/>
      <c r="C20" s="399"/>
      <c r="D20" s="399"/>
      <c r="E20" s="317"/>
      <c r="F20" s="399"/>
      <c r="G20" s="399"/>
      <c r="H20" s="317"/>
      <c r="I20" s="399"/>
      <c r="J20" s="399"/>
      <c r="K20" s="399"/>
    </row>
    <row r="21" spans="1:13" ht="17.25" customHeight="1" x14ac:dyDescent="0.35">
      <c r="A21" s="280"/>
      <c r="B21" s="333"/>
      <c r="C21" s="333"/>
      <c r="D21" s="399"/>
      <c r="E21" s="317"/>
      <c r="F21" s="399"/>
      <c r="G21" s="399"/>
      <c r="H21" s="317"/>
      <c r="I21" s="317"/>
      <c r="J21" s="399"/>
      <c r="K21" s="399"/>
    </row>
    <row r="22" spans="1:13" x14ac:dyDescent="0.35">
      <c r="A22" s="280"/>
      <c r="B22" s="370"/>
      <c r="C22" s="399"/>
      <c r="D22" s="399"/>
      <c r="E22" s="317"/>
      <c r="F22" s="399"/>
      <c r="G22" s="399"/>
      <c r="H22" s="317"/>
      <c r="I22" s="399"/>
      <c r="J22" s="399"/>
      <c r="K22" s="399"/>
    </row>
    <row r="23" spans="1:13" x14ac:dyDescent="0.35">
      <c r="A23" s="280"/>
      <c r="B23" s="333"/>
      <c r="C23" s="399"/>
      <c r="D23" s="399"/>
      <c r="E23" s="399"/>
      <c r="F23" s="399"/>
      <c r="G23" s="399"/>
      <c r="H23" s="317"/>
      <c r="I23" s="399"/>
      <c r="J23" s="399"/>
      <c r="K23" s="399"/>
    </row>
    <row r="24" spans="1:13" x14ac:dyDescent="0.35">
      <c r="A24" s="280"/>
      <c r="B24" s="399"/>
      <c r="C24" s="399"/>
      <c r="D24" s="399"/>
      <c r="E24" s="399"/>
      <c r="F24" s="399"/>
      <c r="G24" s="399"/>
      <c r="H24" s="317"/>
      <c r="I24" s="399"/>
      <c r="J24" s="399"/>
      <c r="K24" s="399"/>
    </row>
    <row r="25" spans="1:13" x14ac:dyDescent="0.35">
      <c r="A25" s="280"/>
      <c r="B25" s="399"/>
      <c r="C25" s="399"/>
      <c r="D25" s="399"/>
      <c r="E25" s="399"/>
      <c r="F25" s="399"/>
      <c r="G25" s="399"/>
      <c r="H25" s="317"/>
      <c r="I25" s="399"/>
      <c r="J25" s="399"/>
      <c r="K25" s="399"/>
    </row>
    <row r="26" spans="1:13" x14ac:dyDescent="0.35">
      <c r="A26" s="280"/>
      <c r="B26" s="399"/>
      <c r="C26" s="399"/>
      <c r="D26" s="399"/>
      <c r="E26" s="399"/>
      <c r="F26" s="399"/>
      <c r="G26" s="399"/>
      <c r="H26" s="317"/>
      <c r="I26" s="399"/>
      <c r="J26" s="399"/>
      <c r="K26" s="399"/>
    </row>
    <row r="27" spans="1:13" x14ac:dyDescent="0.35">
      <c r="A27" s="370"/>
      <c r="B27" s="399"/>
      <c r="C27" s="399"/>
      <c r="D27" s="399"/>
      <c r="E27" s="399"/>
      <c r="F27" s="399"/>
      <c r="G27" s="399"/>
      <c r="H27" s="317"/>
      <c r="I27" s="399"/>
      <c r="J27" s="399"/>
      <c r="K27" s="399"/>
    </row>
    <row r="28" spans="1:13" x14ac:dyDescent="0.35">
      <c r="A28" s="370"/>
      <c r="B28" s="399"/>
      <c r="C28" s="399"/>
      <c r="D28" s="399"/>
      <c r="E28" s="399"/>
      <c r="F28" s="399"/>
      <c r="G28" s="399"/>
      <c r="H28" s="317"/>
      <c r="I28" s="399"/>
      <c r="J28" s="399"/>
      <c r="K28" s="399"/>
    </row>
    <row r="30" spans="1:13" x14ac:dyDescent="0.35">
      <c r="J30" s="351"/>
    </row>
    <row r="31" spans="1:13" x14ac:dyDescent="0.35">
      <c r="G31" s="351"/>
    </row>
    <row r="32" spans="1:13" x14ac:dyDescent="0.35">
      <c r="J32" s="351"/>
    </row>
    <row r="33" spans="2:10" x14ac:dyDescent="0.35">
      <c r="J33" s="351"/>
    </row>
    <row r="34" spans="2:10" x14ac:dyDescent="0.35">
      <c r="J34" s="351"/>
    </row>
    <row r="37" spans="2:10" x14ac:dyDescent="0.35">
      <c r="B37" s="382"/>
      <c r="C37" s="370"/>
      <c r="D37" s="370"/>
      <c r="E37" s="677"/>
      <c r="F37" s="677"/>
      <c r="G37" s="677"/>
      <c r="H37" s="677"/>
    </row>
    <row r="38" spans="2:10" x14ac:dyDescent="0.35">
      <c r="B38" s="382"/>
      <c r="C38" s="370"/>
      <c r="D38" s="370"/>
      <c r="E38" s="677"/>
      <c r="F38" s="677"/>
      <c r="G38" s="677"/>
      <c r="H38" s="677"/>
    </row>
  </sheetData>
  <mergeCells count="7">
    <mergeCell ref="B6:H6"/>
    <mergeCell ref="E37:H37"/>
    <mergeCell ref="E38:H38"/>
    <mergeCell ref="B2:E2"/>
    <mergeCell ref="B3:E3"/>
    <mergeCell ref="B4:E4"/>
    <mergeCell ref="B5:E5"/>
  </mergeCells>
  <pageMargins left="0.25" right="0.25"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66D8-2F16-4F72-9DF8-9864B265DB9D}">
  <sheetPr>
    <tabColor rgb="FFA32794"/>
  </sheetPr>
  <dimension ref="A1:DG101"/>
  <sheetViews>
    <sheetView zoomScale="130" zoomScaleNormal="130" workbookViewId="0">
      <pane xSplit="1" ySplit="7" topLeftCell="B84" activePane="bottomRight" state="frozen"/>
      <selection pane="topRight" activeCell="B1" sqref="B1"/>
      <selection pane="bottomLeft" activeCell="A8" sqref="A8"/>
      <selection pane="bottomRight" activeCell="A94" sqref="A94"/>
    </sheetView>
  </sheetViews>
  <sheetFormatPr baseColWidth="10" defaultColWidth="11.44140625" defaultRowHeight="13.2" x14ac:dyDescent="0.25"/>
  <cols>
    <col min="1" max="1" width="45.6640625" style="27" customWidth="1"/>
    <col min="2" max="2" width="28.33203125" style="146" bestFit="1" customWidth="1"/>
    <col min="3" max="3" width="18.44140625" style="146" bestFit="1" customWidth="1"/>
    <col min="4" max="4" width="19.33203125" style="147" bestFit="1" customWidth="1"/>
    <col min="5" max="6" width="16" style="147" customWidth="1"/>
    <col min="7" max="7" width="18.44140625" style="146" bestFit="1" customWidth="1"/>
    <col min="8" max="8" width="14.44140625" style="146" bestFit="1" customWidth="1"/>
    <col min="9" max="11" width="15.33203125" style="146" customWidth="1"/>
    <col min="12" max="13" width="18.44140625" style="146" customWidth="1"/>
    <col min="14" max="14" width="20.109375" style="146" bestFit="1" customWidth="1"/>
    <col min="15" max="15" width="17.44140625" style="146" customWidth="1"/>
    <col min="16" max="16384" width="11.44140625" style="27"/>
  </cols>
  <sheetData>
    <row r="1" spans="1:15" ht="17.399999999999999" x14ac:dyDescent="0.3">
      <c r="A1" s="145" t="s">
        <v>316</v>
      </c>
    </row>
    <row r="2" spans="1:15" ht="17.399999999999999" x14ac:dyDescent="0.3">
      <c r="A2" s="145"/>
      <c r="F2" s="147" t="s">
        <v>315</v>
      </c>
      <c r="G2" s="146" t="s">
        <v>314</v>
      </c>
    </row>
    <row r="3" spans="1:15" ht="18" thickBot="1" x14ac:dyDescent="0.35">
      <c r="A3" s="145"/>
      <c r="F3" s="147" t="s">
        <v>313</v>
      </c>
      <c r="G3" s="146" t="s">
        <v>312</v>
      </c>
    </row>
    <row r="4" spans="1:15" x14ac:dyDescent="0.25">
      <c r="A4" s="142"/>
      <c r="B4" s="248"/>
      <c r="C4" s="260"/>
      <c r="D4" s="259"/>
      <c r="E4" s="258"/>
      <c r="F4" s="258"/>
      <c r="G4" s="257"/>
      <c r="H4" s="256"/>
      <c r="I4" s="256"/>
      <c r="J4" s="256"/>
      <c r="K4" s="256"/>
      <c r="L4" s="256"/>
      <c r="M4" s="243" t="s">
        <v>311</v>
      </c>
      <c r="N4" s="243" t="s">
        <v>310</v>
      </c>
      <c r="O4" s="255"/>
    </row>
    <row r="5" spans="1:15" ht="13.8" thickBot="1" x14ac:dyDescent="0.3">
      <c r="A5" s="139" t="s">
        <v>17</v>
      </c>
      <c r="B5" s="249" t="s">
        <v>308</v>
      </c>
      <c r="C5" s="254" t="s">
        <v>309</v>
      </c>
      <c r="D5" s="253"/>
      <c r="E5" s="246" t="s">
        <v>308</v>
      </c>
      <c r="F5" s="246" t="s">
        <v>307</v>
      </c>
      <c r="G5" s="252" t="s">
        <v>306</v>
      </c>
      <c r="H5" s="251"/>
      <c r="I5" s="251"/>
      <c r="J5" s="251"/>
      <c r="K5" s="251"/>
      <c r="L5" s="251"/>
      <c r="M5" s="249" t="s">
        <v>305</v>
      </c>
      <c r="N5" s="250" t="s">
        <v>304</v>
      </c>
      <c r="O5" s="239" t="s">
        <v>109</v>
      </c>
    </row>
    <row r="6" spans="1:15" x14ac:dyDescent="0.25">
      <c r="A6" s="133"/>
      <c r="B6" s="249" t="s">
        <v>19</v>
      </c>
      <c r="C6" s="248"/>
      <c r="D6" s="247"/>
      <c r="E6" s="246" t="s">
        <v>19</v>
      </c>
      <c r="F6" s="245" t="s">
        <v>296</v>
      </c>
      <c r="G6" s="244" t="s">
        <v>303</v>
      </c>
      <c r="H6" s="243" t="s">
        <v>302</v>
      </c>
      <c r="I6" s="240" t="s">
        <v>301</v>
      </c>
      <c r="J6" s="240" t="s">
        <v>300</v>
      </c>
      <c r="K6" s="242" t="s">
        <v>299</v>
      </c>
      <c r="L6" s="241" t="s">
        <v>298</v>
      </c>
      <c r="M6" s="240" t="s">
        <v>297</v>
      </c>
      <c r="N6" s="240" t="s">
        <v>297</v>
      </c>
      <c r="O6" s="239"/>
    </row>
    <row r="7" spans="1:15" ht="14.4" thickBot="1" x14ac:dyDescent="0.3">
      <c r="A7" s="123"/>
      <c r="B7" s="238" t="s">
        <v>295</v>
      </c>
      <c r="C7" s="233" t="s">
        <v>296</v>
      </c>
      <c r="D7" s="237" t="s">
        <v>179</v>
      </c>
      <c r="E7" s="236" t="s">
        <v>295</v>
      </c>
      <c r="F7" s="235" t="s">
        <v>294</v>
      </c>
      <c r="G7" s="234" t="s">
        <v>293</v>
      </c>
      <c r="H7" s="233" t="s">
        <v>292</v>
      </c>
      <c r="I7" s="230" t="s">
        <v>291</v>
      </c>
      <c r="J7" s="232" t="s">
        <v>290</v>
      </c>
      <c r="K7" s="232" t="s">
        <v>289</v>
      </c>
      <c r="L7" s="231" t="s">
        <v>288</v>
      </c>
      <c r="M7" s="230" t="s">
        <v>287</v>
      </c>
      <c r="N7" s="230" t="s">
        <v>287</v>
      </c>
      <c r="O7" s="229"/>
    </row>
    <row r="8" spans="1:15" x14ac:dyDescent="0.25">
      <c r="A8" s="114" t="s">
        <v>286</v>
      </c>
      <c r="B8" s="226"/>
      <c r="C8" s="226"/>
      <c r="D8" s="228"/>
      <c r="E8" s="227"/>
      <c r="F8" s="227"/>
      <c r="G8" s="226"/>
      <c r="H8" s="226"/>
      <c r="I8" s="226"/>
      <c r="J8" s="226"/>
      <c r="K8" s="226"/>
      <c r="L8" s="226"/>
      <c r="M8" s="226"/>
      <c r="N8" s="226"/>
      <c r="O8" s="225"/>
    </row>
    <row r="9" spans="1:15" x14ac:dyDescent="0.25">
      <c r="A9" s="110" t="s">
        <v>39</v>
      </c>
      <c r="B9" s="220">
        <f>+'1.BG USD'!C12</f>
        <v>29886.45</v>
      </c>
      <c r="C9" s="220"/>
      <c r="D9" s="223"/>
      <c r="E9" s="163">
        <v>261013.46460722969</v>
      </c>
      <c r="F9" s="163">
        <f t="shared" ref="F9:F21" si="0">B9-E9+C9-D9</f>
        <v>-231127.01460722968</v>
      </c>
      <c r="G9" s="220"/>
      <c r="H9" s="220"/>
      <c r="I9" s="220"/>
      <c r="J9" s="220"/>
      <c r="K9" s="220"/>
      <c r="L9" s="220"/>
      <c r="M9" s="220"/>
      <c r="N9" s="220"/>
      <c r="O9" s="219">
        <f>F9</f>
        <v>-231127.01460722968</v>
      </c>
    </row>
    <row r="10" spans="1:15" ht="13.8" x14ac:dyDescent="0.3">
      <c r="A10" s="110" t="s">
        <v>285</v>
      </c>
      <c r="B10" s="224">
        <f>+'1.BG USD'!C20</f>
        <v>201021.79</v>
      </c>
      <c r="C10" s="220"/>
      <c r="D10" s="223"/>
      <c r="E10" s="163">
        <v>104500.02677995752</v>
      </c>
      <c r="F10" s="163">
        <f t="shared" si="0"/>
        <v>96521.763220042485</v>
      </c>
      <c r="G10" s="220"/>
      <c r="H10" s="220"/>
      <c r="I10" s="220"/>
      <c r="J10" s="220"/>
      <c r="K10" s="220"/>
      <c r="L10" s="220">
        <f>-F10</f>
        <v>-96521.763220042485</v>
      </c>
      <c r="M10" s="220"/>
      <c r="N10" s="220"/>
      <c r="O10" s="219"/>
    </row>
    <row r="11" spans="1:15" x14ac:dyDescent="0.25">
      <c r="A11" s="107" t="s">
        <v>284</v>
      </c>
      <c r="B11" s="222">
        <v>0</v>
      </c>
      <c r="C11" s="222"/>
      <c r="D11" s="221"/>
      <c r="E11" s="183">
        <v>0</v>
      </c>
      <c r="F11" s="183">
        <f t="shared" si="0"/>
        <v>0</v>
      </c>
      <c r="G11" s="220"/>
      <c r="H11" s="220"/>
      <c r="I11" s="220"/>
      <c r="J11" s="220">
        <f>-F11</f>
        <v>0</v>
      </c>
      <c r="K11" s="220"/>
      <c r="L11" s="220"/>
      <c r="M11" s="220"/>
      <c r="N11" s="220"/>
      <c r="O11" s="219"/>
    </row>
    <row r="12" spans="1:15" x14ac:dyDescent="0.25">
      <c r="A12" s="70" t="s">
        <v>283</v>
      </c>
      <c r="B12" s="168">
        <v>0</v>
      </c>
      <c r="C12" s="168"/>
      <c r="D12" s="218"/>
      <c r="E12" s="190">
        <v>0</v>
      </c>
      <c r="F12" s="163">
        <f t="shared" si="0"/>
        <v>0</v>
      </c>
      <c r="G12" s="168">
        <f>-F12</f>
        <v>0</v>
      </c>
      <c r="H12" s="168"/>
      <c r="I12" s="168"/>
      <c r="J12" s="168"/>
      <c r="K12" s="168"/>
      <c r="L12" s="168"/>
      <c r="M12" s="168"/>
      <c r="N12" s="168"/>
      <c r="O12" s="166"/>
    </row>
    <row r="13" spans="1:15" x14ac:dyDescent="0.25">
      <c r="A13" s="70" t="s">
        <v>282</v>
      </c>
      <c r="B13" s="168">
        <f>+'1.BG USD'!C27+'1.BG USD'!C21</f>
        <v>348755.08999999997</v>
      </c>
      <c r="C13" s="168">
        <v>0</v>
      </c>
      <c r="D13" s="190"/>
      <c r="E13" s="190">
        <v>189688.66091050374</v>
      </c>
      <c r="F13" s="163">
        <f t="shared" si="0"/>
        <v>159066.42908949623</v>
      </c>
      <c r="H13" s="168"/>
      <c r="I13" s="168"/>
      <c r="J13" s="168"/>
      <c r="K13" s="168"/>
      <c r="L13" s="168">
        <f>-F13</f>
        <v>-159066.42908949623</v>
      </c>
      <c r="M13" s="168"/>
      <c r="N13" s="168"/>
      <c r="O13" s="166"/>
    </row>
    <row r="14" spans="1:15" x14ac:dyDescent="0.25">
      <c r="A14" s="103" t="s">
        <v>281</v>
      </c>
      <c r="B14" s="217">
        <v>0</v>
      </c>
      <c r="C14" s="217"/>
      <c r="D14" s="215"/>
      <c r="E14" s="215">
        <v>0</v>
      </c>
      <c r="F14" s="163">
        <f t="shared" si="0"/>
        <v>0</v>
      </c>
      <c r="G14" s="172"/>
      <c r="H14" s="172"/>
      <c r="I14" s="172"/>
      <c r="J14" s="172"/>
      <c r="K14" s="172"/>
      <c r="L14" s="172"/>
      <c r="M14" s="172"/>
      <c r="N14" s="172"/>
      <c r="O14" s="171"/>
    </row>
    <row r="15" spans="1:15" x14ac:dyDescent="0.25">
      <c r="A15" s="70" t="s">
        <v>280</v>
      </c>
      <c r="B15" s="168">
        <f>+'1.BG USD'!C17+'1.BG USD'!C33-B16</f>
        <v>2347514.0300000003</v>
      </c>
      <c r="C15" s="168"/>
      <c r="D15" s="190"/>
      <c r="E15" s="190">
        <v>842372.37414511538</v>
      </c>
      <c r="F15" s="163">
        <f t="shared" si="0"/>
        <v>1505141.655854885</v>
      </c>
      <c r="G15" s="168"/>
      <c r="H15" s="168"/>
      <c r="I15" s="168"/>
      <c r="J15" s="168"/>
      <c r="K15" s="168"/>
      <c r="L15" s="168"/>
      <c r="M15" s="168">
        <f>-F15</f>
        <v>-1505141.655854885</v>
      </c>
      <c r="N15" s="168"/>
      <c r="O15" s="166"/>
    </row>
    <row r="16" spans="1:15" x14ac:dyDescent="0.25">
      <c r="A16" s="70" t="s">
        <v>279</v>
      </c>
      <c r="B16" s="168">
        <f>+'1.BG USD'!C16</f>
        <v>3521261.66</v>
      </c>
      <c r="C16" s="168">
        <f>+D44+D40</f>
        <v>-586215.58099880582</v>
      </c>
      <c r="D16" s="190">
        <f>+C34</f>
        <v>0</v>
      </c>
      <c r="E16" s="190">
        <v>1635588.162531055</v>
      </c>
      <c r="F16" s="163">
        <f t="shared" si="0"/>
        <v>1299457.9164701393</v>
      </c>
      <c r="G16" s="168"/>
      <c r="H16" s="168"/>
      <c r="I16" s="168"/>
      <c r="J16" s="168"/>
      <c r="K16" s="168"/>
      <c r="L16" s="168"/>
      <c r="M16" s="168">
        <f>-F16</f>
        <v>-1299457.9164701393</v>
      </c>
      <c r="N16" s="168"/>
      <c r="O16" s="166"/>
    </row>
    <row r="17" spans="1:111" x14ac:dyDescent="0.25">
      <c r="A17" s="103" t="s">
        <v>278</v>
      </c>
      <c r="B17" s="217">
        <f>+'1.BG USD'!C38</f>
        <v>26433.75</v>
      </c>
      <c r="C17" s="216"/>
      <c r="D17" s="215"/>
      <c r="E17" s="215">
        <v>0</v>
      </c>
      <c r="F17" s="163">
        <f t="shared" si="0"/>
        <v>26433.75</v>
      </c>
      <c r="G17" s="168"/>
      <c r="H17" s="168"/>
      <c r="I17" s="168"/>
      <c r="J17" s="168"/>
      <c r="K17" s="168"/>
      <c r="L17" s="168"/>
      <c r="M17" s="168">
        <f>-F17</f>
        <v>-26433.75</v>
      </c>
      <c r="N17" s="168"/>
      <c r="O17" s="166"/>
    </row>
    <row r="18" spans="1:111" x14ac:dyDescent="0.25">
      <c r="A18" s="87" t="s">
        <v>277</v>
      </c>
      <c r="B18" s="198">
        <v>0</v>
      </c>
      <c r="C18" s="198"/>
      <c r="D18" s="214"/>
      <c r="E18" s="200">
        <v>0</v>
      </c>
      <c r="F18" s="195">
        <f t="shared" si="0"/>
        <v>0</v>
      </c>
      <c r="G18" s="172"/>
      <c r="H18" s="172"/>
      <c r="I18" s="172"/>
      <c r="J18" s="172"/>
      <c r="K18" s="172"/>
      <c r="L18" s="172"/>
      <c r="M18" s="172"/>
      <c r="N18" s="172"/>
      <c r="O18" s="171"/>
    </row>
    <row r="19" spans="1:111" x14ac:dyDescent="0.25">
      <c r="A19" s="103" t="s">
        <v>276</v>
      </c>
      <c r="B19" s="217">
        <v>0</v>
      </c>
      <c r="C19" s="216"/>
      <c r="D19" s="215"/>
      <c r="E19" s="215">
        <v>0</v>
      </c>
      <c r="F19" s="163">
        <f t="shared" si="0"/>
        <v>0</v>
      </c>
      <c r="G19" s="168"/>
      <c r="H19" s="168"/>
      <c r="I19" s="168"/>
      <c r="J19" s="168"/>
      <c r="K19" s="168"/>
      <c r="L19" s="168"/>
      <c r="M19" s="168">
        <f>-F19</f>
        <v>0</v>
      </c>
      <c r="N19" s="168"/>
      <c r="O19" s="166"/>
    </row>
    <row r="20" spans="1:111" x14ac:dyDescent="0.25">
      <c r="A20" s="87" t="s">
        <v>275</v>
      </c>
      <c r="B20" s="198">
        <v>0</v>
      </c>
      <c r="C20" s="198"/>
      <c r="D20" s="214"/>
      <c r="E20" s="200">
        <v>0</v>
      </c>
      <c r="F20" s="195">
        <f t="shared" si="0"/>
        <v>0</v>
      </c>
      <c r="G20" s="172"/>
      <c r="H20" s="172"/>
      <c r="I20" s="172"/>
      <c r="J20" s="172"/>
      <c r="K20" s="172"/>
      <c r="L20" s="172"/>
      <c r="M20" s="172"/>
      <c r="N20" s="172"/>
      <c r="O20" s="171"/>
    </row>
    <row r="21" spans="1:111" s="82" customFormat="1" x14ac:dyDescent="0.25">
      <c r="A21" s="99" t="s">
        <v>274</v>
      </c>
      <c r="B21" s="213">
        <v>0</v>
      </c>
      <c r="C21" s="175">
        <v>0</v>
      </c>
      <c r="D21" s="212">
        <v>0</v>
      </c>
      <c r="E21" s="212">
        <v>0</v>
      </c>
      <c r="F21" s="195">
        <f t="shared" si="0"/>
        <v>0</v>
      </c>
      <c r="G21" s="211"/>
      <c r="H21" s="211"/>
      <c r="I21" s="211"/>
      <c r="J21" s="211"/>
      <c r="K21" s="211"/>
      <c r="L21" s="211"/>
      <c r="M21" s="211">
        <f>-F21</f>
        <v>0</v>
      </c>
      <c r="N21" s="211"/>
      <c r="O21" s="210"/>
      <c r="P21" s="77">
        <v>8975342</v>
      </c>
      <c r="Q21" s="77">
        <v>105780824</v>
      </c>
      <c r="R21" s="77">
        <f>+Q21+P21</f>
        <v>114756166</v>
      </c>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row>
    <row r="22" spans="1:111" ht="13.8" thickBot="1" x14ac:dyDescent="0.3">
      <c r="A22" s="95" t="s">
        <v>273</v>
      </c>
      <c r="B22" s="194">
        <f>SUM(B9:B21)</f>
        <v>6474872.7700000005</v>
      </c>
      <c r="C22" s="168"/>
      <c r="D22" s="190"/>
      <c r="E22" s="193">
        <v>3033162.6889738613</v>
      </c>
      <c r="F22" s="163">
        <v>0</v>
      </c>
      <c r="G22" s="168"/>
      <c r="H22" s="168"/>
      <c r="I22" s="168"/>
      <c r="J22" s="168"/>
      <c r="K22" s="168"/>
      <c r="L22" s="168"/>
      <c r="M22" s="168"/>
      <c r="N22" s="168"/>
      <c r="O22" s="166"/>
      <c r="P22" s="77">
        <v>1599667</v>
      </c>
      <c r="Q22" s="77">
        <v>9474951</v>
      </c>
      <c r="R22" s="77">
        <f>+Q22+P22</f>
        <v>11074618</v>
      </c>
    </row>
    <row r="23" spans="1:111" ht="13.8" thickTop="1" x14ac:dyDescent="0.25">
      <c r="A23" s="79" t="s">
        <v>272</v>
      </c>
      <c r="B23" s="209">
        <f>+B22-'1.BG USD'!C40</f>
        <v>0</v>
      </c>
      <c r="C23" s="208"/>
      <c r="D23" s="207"/>
      <c r="E23" s="206">
        <v>0</v>
      </c>
      <c r="F23" s="205">
        <f t="shared" ref="F23:F38" si="1">B23-E23+C23-D23</f>
        <v>0</v>
      </c>
      <c r="G23" s="168"/>
      <c r="H23" s="168"/>
      <c r="I23" s="168"/>
      <c r="J23" s="168"/>
      <c r="K23" s="168"/>
      <c r="L23" s="168"/>
      <c r="M23" s="168"/>
      <c r="N23" s="168"/>
      <c r="O23" s="166"/>
      <c r="P23" s="77">
        <v>4727013</v>
      </c>
      <c r="Q23" s="77">
        <v>30725588</v>
      </c>
      <c r="R23" s="77">
        <f>+Q23+P23</f>
        <v>35452601</v>
      </c>
    </row>
    <row r="24" spans="1:111" x14ac:dyDescent="0.25">
      <c r="A24" s="70" t="s">
        <v>271</v>
      </c>
      <c r="B24" s="189">
        <v>0</v>
      </c>
      <c r="C24" s="168"/>
      <c r="D24" s="190"/>
      <c r="E24" s="188">
        <v>0</v>
      </c>
      <c r="F24" s="163">
        <f t="shared" si="1"/>
        <v>0</v>
      </c>
      <c r="G24" s="168"/>
      <c r="H24" s="168"/>
      <c r="I24" s="168"/>
      <c r="J24" s="168"/>
      <c r="K24" s="168"/>
      <c r="L24" s="168"/>
      <c r="M24" s="168"/>
      <c r="N24" s="168">
        <f>-F24</f>
        <v>0</v>
      </c>
      <c r="O24" s="166"/>
      <c r="P24" s="77">
        <v>5522903</v>
      </c>
      <c r="Q24" s="77">
        <v>52954902</v>
      </c>
      <c r="R24" s="77">
        <f>+Q24+P24</f>
        <v>58477805</v>
      </c>
    </row>
    <row r="25" spans="1:111" x14ac:dyDescent="0.25">
      <c r="A25" s="70" t="s">
        <v>270</v>
      </c>
      <c r="B25" s="168">
        <v>0</v>
      </c>
      <c r="C25" s="168">
        <f>+D31</f>
        <v>0</v>
      </c>
      <c r="D25" s="190"/>
      <c r="E25" s="190">
        <v>0</v>
      </c>
      <c r="F25" s="163">
        <f t="shared" si="1"/>
        <v>0</v>
      </c>
      <c r="G25" s="168">
        <f>-F25</f>
        <v>0</v>
      </c>
      <c r="H25" s="168"/>
      <c r="J25" s="168"/>
      <c r="K25" s="168"/>
      <c r="L25" s="168"/>
      <c r="M25" s="168"/>
      <c r="N25" s="168"/>
      <c r="O25" s="166"/>
      <c r="P25" s="77">
        <v>1172931</v>
      </c>
      <c r="Q25" s="77">
        <v>51608984</v>
      </c>
      <c r="R25" s="77">
        <f>+Q25+P25</f>
        <v>52781915</v>
      </c>
    </row>
    <row r="26" spans="1:111" x14ac:dyDescent="0.25">
      <c r="A26" s="70" t="s">
        <v>269</v>
      </c>
      <c r="B26" s="168">
        <f>-'1.BG USD'!C46</f>
        <v>-97335.35</v>
      </c>
      <c r="C26" s="168">
        <f>+D46</f>
        <v>220567.74</v>
      </c>
      <c r="D26" s="190"/>
      <c r="E26" s="190">
        <v>-68360.849448609399</v>
      </c>
      <c r="F26" s="163">
        <f t="shared" si="1"/>
        <v>191593.23944860938</v>
      </c>
      <c r="G26" s="168"/>
      <c r="H26" s="168"/>
      <c r="I26" s="168">
        <f>-F26</f>
        <v>-191593.23944860938</v>
      </c>
      <c r="J26" s="168"/>
      <c r="K26" s="168"/>
      <c r="L26" s="168">
        <v>0</v>
      </c>
      <c r="M26" s="168"/>
      <c r="N26" s="168"/>
      <c r="O26" s="166"/>
      <c r="P26" s="92">
        <f>SUM(P21:P25)</f>
        <v>21997856</v>
      </c>
      <c r="Q26" s="92">
        <f>SUM(Q21:Q25)</f>
        <v>250545249</v>
      </c>
      <c r="R26" s="92">
        <f>SUM(R21:R25)</f>
        <v>272543105</v>
      </c>
    </row>
    <row r="27" spans="1:111" x14ac:dyDescent="0.25">
      <c r="A27" s="70" t="s">
        <v>268</v>
      </c>
      <c r="B27" s="168">
        <f>-'[4]Balance Gral. Resol. 6'!G23-'[4]Balance Gral. Resol. 6'!G22</f>
        <v>0</v>
      </c>
      <c r="C27" s="168">
        <v>0</v>
      </c>
      <c r="D27" s="190"/>
      <c r="E27" s="190">
        <v>0</v>
      </c>
      <c r="F27" s="163">
        <f t="shared" si="1"/>
        <v>0</v>
      </c>
      <c r="G27" s="168"/>
      <c r="H27" s="168"/>
      <c r="I27" s="168"/>
      <c r="J27" s="168"/>
      <c r="K27" s="168"/>
      <c r="L27" s="168">
        <v>0</v>
      </c>
      <c r="M27" s="168"/>
      <c r="N27" s="168">
        <f>-F27</f>
        <v>0</v>
      </c>
      <c r="O27" s="166"/>
      <c r="P27" s="77"/>
      <c r="Q27" s="77"/>
      <c r="R27" s="77"/>
    </row>
    <row r="28" spans="1:111" x14ac:dyDescent="0.25">
      <c r="A28" s="70" t="s">
        <v>267</v>
      </c>
      <c r="B28" s="168">
        <v>0</v>
      </c>
      <c r="C28" s="168"/>
      <c r="D28" s="190"/>
      <c r="E28" s="190">
        <v>0</v>
      </c>
      <c r="F28" s="163">
        <f t="shared" si="1"/>
        <v>0</v>
      </c>
      <c r="G28" s="168"/>
      <c r="H28" s="168"/>
      <c r="I28" s="168"/>
      <c r="J28" s="168">
        <f>-F28</f>
        <v>0</v>
      </c>
      <c r="M28" s="168"/>
      <c r="N28" s="168"/>
      <c r="O28" s="166"/>
      <c r="P28" s="77"/>
      <c r="Q28" s="77"/>
      <c r="R28" s="77"/>
    </row>
    <row r="29" spans="1:111" x14ac:dyDescent="0.25">
      <c r="A29" s="70" t="s">
        <v>266</v>
      </c>
      <c r="B29" s="168">
        <v>0</v>
      </c>
      <c r="C29" s="204"/>
      <c r="D29" s="190"/>
      <c r="E29" s="190">
        <v>0</v>
      </c>
      <c r="F29" s="163">
        <f t="shared" si="1"/>
        <v>0</v>
      </c>
      <c r="G29" s="168"/>
      <c r="H29" s="168"/>
      <c r="I29" s="168"/>
      <c r="J29" s="168"/>
      <c r="K29" s="168"/>
      <c r="L29" s="168">
        <f>-F29</f>
        <v>0</v>
      </c>
      <c r="M29" s="168"/>
      <c r="N29" s="168"/>
      <c r="O29" s="166"/>
      <c r="P29" s="77"/>
      <c r="Q29" s="77"/>
      <c r="R29" s="77"/>
    </row>
    <row r="30" spans="1:111" x14ac:dyDescent="0.25">
      <c r="A30" s="90" t="s">
        <v>265</v>
      </c>
      <c r="B30" s="203">
        <f>-'1.BG USD'!C48</f>
        <v>-6000000</v>
      </c>
      <c r="C30" s="202">
        <v>0</v>
      </c>
      <c r="D30" s="201"/>
      <c r="E30" s="201">
        <v>-2860000</v>
      </c>
      <c r="F30" s="195">
        <f t="shared" si="1"/>
        <v>-3140000</v>
      </c>
      <c r="G30" s="168"/>
      <c r="H30" s="168"/>
      <c r="I30" s="168"/>
      <c r="J30" s="168"/>
      <c r="K30" s="168"/>
      <c r="L30" s="168"/>
      <c r="M30" s="168"/>
      <c r="N30" s="168">
        <f>-F30</f>
        <v>3140000</v>
      </c>
      <c r="O30" s="166"/>
      <c r="P30" s="77"/>
      <c r="Q30" s="77"/>
      <c r="R30" s="77"/>
    </row>
    <row r="31" spans="1:111" x14ac:dyDescent="0.25">
      <c r="A31" s="70" t="s">
        <v>264</v>
      </c>
      <c r="B31" s="168">
        <v>0</v>
      </c>
      <c r="D31" s="190">
        <v>0</v>
      </c>
      <c r="E31" s="190">
        <v>0</v>
      </c>
      <c r="F31" s="163">
        <f t="shared" si="1"/>
        <v>0</v>
      </c>
      <c r="G31" s="168"/>
      <c r="H31" s="168"/>
      <c r="I31" s="168"/>
      <c r="J31" s="168"/>
      <c r="K31" s="168"/>
      <c r="L31" s="168"/>
      <c r="M31" s="168"/>
      <c r="N31" s="168">
        <f>-F31</f>
        <v>0</v>
      </c>
      <c r="O31" s="166"/>
      <c r="P31" s="77"/>
      <c r="Q31" s="77"/>
      <c r="R31" s="77"/>
    </row>
    <row r="32" spans="1:111" x14ac:dyDescent="0.25">
      <c r="A32" s="87" t="s">
        <v>263</v>
      </c>
      <c r="B32" s="198">
        <v>0</v>
      </c>
      <c r="C32" s="198">
        <v>0</v>
      </c>
      <c r="D32" s="200">
        <v>0</v>
      </c>
      <c r="E32" s="200">
        <v>0</v>
      </c>
      <c r="F32" s="195">
        <f t="shared" si="1"/>
        <v>0</v>
      </c>
      <c r="G32" s="172"/>
      <c r="H32" s="172"/>
      <c r="I32" s="172"/>
      <c r="J32" s="172"/>
      <c r="K32" s="172"/>
      <c r="L32" s="172"/>
      <c r="M32" s="172"/>
      <c r="N32" s="172"/>
      <c r="O32" s="171"/>
      <c r="P32" s="77"/>
      <c r="Q32" s="77"/>
      <c r="R32" s="77"/>
    </row>
    <row r="33" spans="1:111" x14ac:dyDescent="0.25">
      <c r="A33" s="87" t="s">
        <v>248</v>
      </c>
      <c r="B33" s="198">
        <v>0</v>
      </c>
      <c r="C33" s="198">
        <v>0</v>
      </c>
      <c r="D33" s="200"/>
      <c r="E33" s="200">
        <v>0</v>
      </c>
      <c r="F33" s="195">
        <f t="shared" si="1"/>
        <v>0</v>
      </c>
      <c r="G33" s="172"/>
      <c r="H33" s="172"/>
      <c r="I33" s="172"/>
      <c r="J33" s="172"/>
      <c r="K33" s="172"/>
      <c r="L33" s="172"/>
      <c r="M33" s="172"/>
      <c r="N33" s="172"/>
      <c r="O33" s="171"/>
      <c r="P33" s="77"/>
      <c r="Q33" s="77"/>
      <c r="R33" s="77"/>
    </row>
    <row r="34" spans="1:111" x14ac:dyDescent="0.25">
      <c r="A34" s="87" t="s">
        <v>262</v>
      </c>
      <c r="B34" s="198">
        <v>0</v>
      </c>
      <c r="C34" s="198">
        <v>0</v>
      </c>
      <c r="D34" s="200">
        <v>0</v>
      </c>
      <c r="E34" s="200">
        <v>0</v>
      </c>
      <c r="F34" s="195">
        <f t="shared" si="1"/>
        <v>0</v>
      </c>
      <c r="G34" s="172"/>
      <c r="H34" s="172"/>
      <c r="I34" s="172"/>
      <c r="J34" s="172"/>
      <c r="K34" s="172"/>
      <c r="L34" s="172"/>
      <c r="M34" s="172"/>
      <c r="N34" s="172"/>
      <c r="O34" s="171"/>
      <c r="P34" s="77"/>
      <c r="Q34" s="77"/>
      <c r="R34" s="77"/>
    </row>
    <row r="35" spans="1:111" s="82" customFormat="1" x14ac:dyDescent="0.25">
      <c r="A35" s="87" t="s">
        <v>261</v>
      </c>
      <c r="B35" s="198">
        <f>-'1.BG USD'!C50</f>
        <v>0</v>
      </c>
      <c r="C35" s="198">
        <v>0</v>
      </c>
      <c r="D35" s="200">
        <v>0</v>
      </c>
      <c r="E35" s="200">
        <v>0</v>
      </c>
      <c r="F35" s="195">
        <f t="shared" si="1"/>
        <v>0</v>
      </c>
      <c r="G35" s="172"/>
      <c r="H35" s="172"/>
      <c r="I35" s="172"/>
      <c r="J35" s="172"/>
      <c r="K35" s="172"/>
      <c r="L35" s="172"/>
      <c r="M35" s="172"/>
      <c r="N35" s="172"/>
      <c r="O35" s="171"/>
      <c r="P35" s="77"/>
      <c r="Q35" s="77"/>
      <c r="R35" s="7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row>
    <row r="36" spans="1:111" s="617" customFormat="1" x14ac:dyDescent="0.25">
      <c r="A36" s="607" t="s">
        <v>260</v>
      </c>
      <c r="B36" s="608">
        <v>0</v>
      </c>
      <c r="C36" s="609">
        <f>+D37</f>
        <v>104801.84</v>
      </c>
      <c r="D36" s="610"/>
      <c r="E36" s="611">
        <v>0</v>
      </c>
      <c r="F36" s="612">
        <f t="shared" si="1"/>
        <v>104801.84</v>
      </c>
      <c r="G36" s="613"/>
      <c r="H36" s="613"/>
      <c r="I36" s="613"/>
      <c r="J36" s="613"/>
      <c r="K36" s="613"/>
      <c r="L36" s="614"/>
      <c r="M36" s="613"/>
      <c r="N36" s="168">
        <f>-F36</f>
        <v>-104801.84</v>
      </c>
      <c r="O36" s="615"/>
      <c r="P36" s="616"/>
      <c r="Q36" s="616"/>
      <c r="R36" s="616"/>
    </row>
    <row r="37" spans="1:111" s="82" customFormat="1" ht="13.8" thickBot="1" x14ac:dyDescent="0.3">
      <c r="A37" s="87" t="s">
        <v>259</v>
      </c>
      <c r="B37" s="199">
        <f>-'1.BG USD'!C51</f>
        <v>-377537.42</v>
      </c>
      <c r="C37" s="198">
        <f>+D56</f>
        <v>377537.4200000001</v>
      </c>
      <c r="D37" s="197">
        <v>104801.84</v>
      </c>
      <c r="E37" s="196">
        <v>-104801.83916848601</v>
      </c>
      <c r="F37" s="195">
        <f t="shared" si="1"/>
        <v>-8.315138693433255E-4</v>
      </c>
      <c r="G37" s="172"/>
      <c r="H37" s="172"/>
      <c r="I37" s="172"/>
      <c r="J37" s="172"/>
      <c r="K37" s="172"/>
      <c r="L37" s="172"/>
      <c r="M37" s="172"/>
      <c r="N37" s="172"/>
      <c r="O37" s="171"/>
      <c r="P37" s="77"/>
      <c r="Q37" s="77"/>
      <c r="R37" s="7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row>
    <row r="38" spans="1:111" ht="13.8" thickBot="1" x14ac:dyDescent="0.3">
      <c r="A38" s="81" t="s">
        <v>52</v>
      </c>
      <c r="B38" s="194">
        <f>SUM(B24:B37)</f>
        <v>-6474872.7699999996</v>
      </c>
      <c r="C38" s="168"/>
      <c r="D38" s="190"/>
      <c r="E38" s="193">
        <v>-3033162.6886170954</v>
      </c>
      <c r="F38" s="163">
        <f t="shared" si="1"/>
        <v>-3441710.0813829042</v>
      </c>
      <c r="G38" s="168"/>
      <c r="H38" s="168"/>
      <c r="I38" s="168"/>
      <c r="J38" s="168"/>
      <c r="K38" s="168"/>
      <c r="L38" s="168"/>
      <c r="M38" s="168"/>
      <c r="N38" s="168"/>
      <c r="O38" s="166"/>
      <c r="P38" s="77"/>
      <c r="Q38" s="77"/>
      <c r="R38" s="77"/>
    </row>
    <row r="39" spans="1:111" ht="13.8" thickTop="1" x14ac:dyDescent="0.25">
      <c r="A39" s="79" t="s">
        <v>258</v>
      </c>
      <c r="B39" s="192">
        <f>+B38+B22</f>
        <v>0</v>
      </c>
      <c r="C39" s="168"/>
      <c r="D39" s="190"/>
      <c r="E39" s="191">
        <v>0</v>
      </c>
      <c r="F39" s="163">
        <v>0</v>
      </c>
      <c r="G39" s="168"/>
      <c r="H39" s="168"/>
      <c r="I39" s="168"/>
      <c r="J39" s="168"/>
      <c r="K39" s="168"/>
      <c r="L39" s="168"/>
      <c r="M39" s="168"/>
      <c r="N39" s="168"/>
      <c r="O39" s="166"/>
      <c r="P39" s="77"/>
      <c r="Q39" s="77"/>
      <c r="R39" s="77"/>
    </row>
    <row r="40" spans="1:111" x14ac:dyDescent="0.25">
      <c r="A40" s="70" t="s">
        <v>257</v>
      </c>
      <c r="B40" s="168">
        <f>-'2.EERR USD'!C14</f>
        <v>-612012.78</v>
      </c>
      <c r="C40" s="168"/>
      <c r="D40" s="190">
        <f>B40</f>
        <v>-612012.78</v>
      </c>
      <c r="E40" s="190"/>
      <c r="F40" s="163">
        <f t="shared" ref="F40:F51" si="2">B40-E40+C40-D40</f>
        <v>0</v>
      </c>
      <c r="G40" s="168">
        <f>-F40</f>
        <v>0</v>
      </c>
      <c r="H40" s="168"/>
      <c r="I40" s="168"/>
      <c r="J40" s="168"/>
      <c r="K40" s="168"/>
      <c r="L40" s="168"/>
      <c r="M40" s="168"/>
      <c r="N40" s="168"/>
      <c r="O40" s="166"/>
    </row>
    <row r="41" spans="1:111" x14ac:dyDescent="0.25">
      <c r="A41" s="70" t="s">
        <v>256</v>
      </c>
      <c r="B41" s="168">
        <f>-'2.EERR USD'!C12-'2.EERR USD'!C13</f>
        <v>-59388.659999999996</v>
      </c>
      <c r="C41" s="168"/>
      <c r="D41" s="190"/>
      <c r="E41" s="190"/>
      <c r="F41" s="163">
        <f t="shared" si="2"/>
        <v>-59388.659999999996</v>
      </c>
      <c r="G41" s="168">
        <f>-F41</f>
        <v>59388.659999999996</v>
      </c>
      <c r="H41" s="168">
        <v>0</v>
      </c>
      <c r="I41" s="168"/>
      <c r="J41" s="168"/>
      <c r="K41" s="168"/>
      <c r="L41" s="168"/>
      <c r="M41" s="168"/>
      <c r="N41" s="168"/>
      <c r="O41" s="166"/>
    </row>
    <row r="42" spans="1:111" x14ac:dyDescent="0.25">
      <c r="A42" s="70" t="s">
        <v>255</v>
      </c>
      <c r="B42" s="168">
        <v>0</v>
      </c>
      <c r="C42" s="168"/>
      <c r="D42" s="190"/>
      <c r="E42" s="190"/>
      <c r="F42" s="163">
        <f t="shared" si="2"/>
        <v>0</v>
      </c>
      <c r="G42" s="168"/>
      <c r="H42" s="168"/>
      <c r="I42" s="168"/>
      <c r="J42" s="168"/>
      <c r="K42" s="168"/>
      <c r="L42" s="168"/>
      <c r="M42" s="168">
        <f>-F42</f>
        <v>0</v>
      </c>
      <c r="N42" s="168"/>
      <c r="O42" s="166"/>
    </row>
    <row r="43" spans="1:111" x14ac:dyDescent="0.25">
      <c r="A43" s="70" t="s">
        <v>254</v>
      </c>
      <c r="B43" s="168">
        <v>0</v>
      </c>
      <c r="C43" s="168"/>
      <c r="D43" s="190"/>
      <c r="E43" s="190"/>
      <c r="F43" s="163">
        <f t="shared" si="2"/>
        <v>0</v>
      </c>
      <c r="G43" s="168"/>
      <c r="H43" s="168"/>
      <c r="I43" s="168"/>
      <c r="J43" s="168"/>
      <c r="K43" s="168"/>
      <c r="L43" s="168"/>
      <c r="M43" s="168">
        <f>-B43</f>
        <v>0</v>
      </c>
      <c r="N43" s="168"/>
      <c r="O43" s="166"/>
    </row>
    <row r="44" spans="1:111" x14ac:dyDescent="0.25">
      <c r="A44" s="70" t="s">
        <v>253</v>
      </c>
      <c r="B44" s="168">
        <f>+'2.EERR USD'!C21</f>
        <v>60999.59</v>
      </c>
      <c r="C44" s="168"/>
      <c r="D44" s="190">
        <f>+'[5]ESTADOS DE RESULTADOS'!$G$28</f>
        <v>25797.199001194225</v>
      </c>
      <c r="E44" s="190"/>
      <c r="F44" s="163">
        <f t="shared" si="2"/>
        <v>35202.390998805771</v>
      </c>
      <c r="G44" s="168"/>
      <c r="H44" s="168"/>
      <c r="I44" s="168">
        <f>-F44</f>
        <v>-35202.390998805771</v>
      </c>
      <c r="J44" s="168"/>
      <c r="K44" s="168"/>
      <c r="L44" s="168"/>
      <c r="M44" s="168"/>
      <c r="N44" s="168"/>
      <c r="O44" s="166"/>
    </row>
    <row r="45" spans="1:111" x14ac:dyDescent="0.25">
      <c r="A45" s="70" t="s">
        <v>252</v>
      </c>
      <c r="B45" s="168">
        <v>0</v>
      </c>
      <c r="C45" s="168"/>
      <c r="D45" s="190"/>
      <c r="E45" s="190"/>
      <c r="F45" s="163">
        <f t="shared" si="2"/>
        <v>0</v>
      </c>
      <c r="G45" s="168"/>
      <c r="H45" s="168"/>
      <c r="I45" s="168"/>
      <c r="J45" s="168"/>
      <c r="K45" s="168">
        <f>-F45</f>
        <v>0</v>
      </c>
      <c r="L45" s="168"/>
      <c r="M45" s="168"/>
      <c r="N45" s="168"/>
      <c r="O45" s="166"/>
    </row>
    <row r="46" spans="1:111" x14ac:dyDescent="0.25">
      <c r="A46" s="70" t="s">
        <v>251</v>
      </c>
      <c r="B46" s="168">
        <f>+'2.EERR USD'!C17</f>
        <v>220567.74</v>
      </c>
      <c r="C46" s="168"/>
      <c r="D46" s="190">
        <f>+B46</f>
        <v>220567.74</v>
      </c>
      <c r="E46" s="190"/>
      <c r="F46" s="163">
        <f t="shared" si="2"/>
        <v>0</v>
      </c>
      <c r="G46" s="168"/>
      <c r="H46" s="168"/>
      <c r="I46" s="168"/>
      <c r="J46" s="168"/>
      <c r="K46" s="168"/>
      <c r="L46" s="168">
        <f>-F46</f>
        <v>0</v>
      </c>
      <c r="M46" s="168"/>
      <c r="N46" s="168"/>
      <c r="O46" s="166"/>
    </row>
    <row r="47" spans="1:111" x14ac:dyDescent="0.25">
      <c r="A47" s="70" t="s">
        <v>250</v>
      </c>
      <c r="B47" s="189">
        <f>+'2.EERR USD'!C19+'2.EERR USD'!C20</f>
        <v>87339.560000000012</v>
      </c>
      <c r="C47" s="168"/>
      <c r="D47" s="182">
        <v>0</v>
      </c>
      <c r="E47" s="188"/>
      <c r="F47" s="163">
        <f t="shared" si="2"/>
        <v>87339.560000000012</v>
      </c>
      <c r="G47" s="168"/>
      <c r="H47" s="168"/>
      <c r="I47" s="168"/>
      <c r="J47" s="168"/>
      <c r="K47" s="168"/>
      <c r="L47" s="168">
        <f>-F47</f>
        <v>-87339.560000000012</v>
      </c>
      <c r="M47" s="168"/>
      <c r="N47" s="168"/>
      <c r="O47" s="166"/>
    </row>
    <row r="48" spans="1:111" x14ac:dyDescent="0.25">
      <c r="A48" s="72" t="s">
        <v>249</v>
      </c>
      <c r="B48" s="186">
        <v>0</v>
      </c>
      <c r="C48" s="175"/>
      <c r="D48" s="174"/>
      <c r="E48" s="185"/>
      <c r="F48" s="183">
        <f t="shared" si="2"/>
        <v>0</v>
      </c>
      <c r="G48" s="172"/>
      <c r="H48" s="172"/>
      <c r="I48" s="172"/>
      <c r="J48" s="172"/>
      <c r="K48" s="172"/>
      <c r="L48" s="172">
        <f>F48</f>
        <v>0</v>
      </c>
      <c r="M48" s="172"/>
      <c r="N48" s="172"/>
      <c r="O48" s="171"/>
    </row>
    <row r="49" spans="1:15" x14ac:dyDescent="0.25">
      <c r="A49" s="68" t="s">
        <v>248</v>
      </c>
      <c r="B49" s="187">
        <v>0</v>
      </c>
      <c r="C49" s="175"/>
      <c r="D49" s="174"/>
      <c r="E49" s="185"/>
      <c r="F49" s="183">
        <f t="shared" si="2"/>
        <v>0</v>
      </c>
      <c r="G49" s="172"/>
      <c r="H49" s="172"/>
      <c r="I49" s="172"/>
      <c r="J49" s="172"/>
      <c r="K49" s="172"/>
      <c r="L49" s="172">
        <f>-F49</f>
        <v>0</v>
      </c>
      <c r="M49" s="172"/>
      <c r="N49" s="172"/>
      <c r="O49" s="171"/>
    </row>
    <row r="50" spans="1:15" s="627" customFormat="1" x14ac:dyDescent="0.25">
      <c r="A50" s="620" t="s">
        <v>353</v>
      </c>
      <c r="B50" s="621">
        <f>+'2.EERR USD'!C22</f>
        <v>-75042.87</v>
      </c>
      <c r="C50" s="622"/>
      <c r="D50" s="623"/>
      <c r="E50" s="624"/>
      <c r="F50" s="625">
        <f t="shared" si="2"/>
        <v>-75042.87</v>
      </c>
      <c r="G50" s="622"/>
      <c r="H50" s="622"/>
      <c r="I50" s="622"/>
      <c r="J50" s="622"/>
      <c r="K50" s="622"/>
      <c r="L50" s="622">
        <f>-F50</f>
        <v>75042.87</v>
      </c>
      <c r="M50" s="622"/>
      <c r="N50" s="622"/>
      <c r="O50" s="626"/>
    </row>
    <row r="51" spans="1:15" x14ac:dyDescent="0.25">
      <c r="A51" s="72" t="s">
        <v>246</v>
      </c>
      <c r="B51" s="175">
        <v>0</v>
      </c>
      <c r="C51" s="175"/>
      <c r="D51" s="174"/>
      <c r="E51" s="184"/>
      <c r="F51" s="183">
        <f t="shared" si="2"/>
        <v>0</v>
      </c>
      <c r="G51" s="168"/>
      <c r="H51" s="168"/>
      <c r="I51" s="168"/>
      <c r="J51" s="168"/>
      <c r="K51" s="168"/>
      <c r="L51" s="168"/>
      <c r="M51" s="168"/>
      <c r="N51" s="168">
        <f>+L5-F51</f>
        <v>0</v>
      </c>
      <c r="O51" s="166"/>
    </row>
    <row r="52" spans="1:15" x14ac:dyDescent="0.25">
      <c r="A52" s="70"/>
      <c r="B52" s="167"/>
      <c r="C52" s="168"/>
      <c r="D52" s="182"/>
      <c r="E52" s="181"/>
      <c r="F52" s="163"/>
      <c r="G52" s="168"/>
      <c r="H52" s="168"/>
      <c r="I52" s="168"/>
      <c r="J52" s="168"/>
      <c r="K52" s="168"/>
      <c r="L52" s="168"/>
      <c r="M52" s="168"/>
      <c r="N52" s="168"/>
      <c r="O52" s="166"/>
    </row>
    <row r="53" spans="1:15" x14ac:dyDescent="0.25">
      <c r="A53" s="70"/>
      <c r="B53" s="168"/>
      <c r="C53" s="168"/>
      <c r="D53" s="182"/>
      <c r="E53" s="181"/>
      <c r="F53" s="163"/>
      <c r="G53" s="168"/>
      <c r="H53" s="168"/>
      <c r="I53" s="168"/>
      <c r="J53" s="168"/>
      <c r="K53" s="168"/>
      <c r="L53" s="168"/>
      <c r="M53" s="168"/>
      <c r="N53" s="168"/>
      <c r="O53" s="166"/>
    </row>
    <row r="54" spans="1:15" x14ac:dyDescent="0.25">
      <c r="A54" s="70"/>
      <c r="B54" s="168">
        <v>0</v>
      </c>
      <c r="C54" s="168"/>
      <c r="D54" s="182"/>
      <c r="E54" s="181"/>
      <c r="F54" s="163"/>
      <c r="G54" s="168"/>
      <c r="H54" s="168"/>
      <c r="I54" s="168"/>
      <c r="J54" s="168"/>
      <c r="K54" s="168"/>
      <c r="L54" s="168"/>
      <c r="M54" s="168"/>
      <c r="N54" s="168"/>
      <c r="O54" s="166"/>
    </row>
    <row r="55" spans="1:15" ht="13.8" thickBot="1" x14ac:dyDescent="0.3">
      <c r="A55" s="68" t="s">
        <v>245</v>
      </c>
      <c r="B55" s="180">
        <v>0</v>
      </c>
      <c r="C55" s="179"/>
      <c r="D55" s="178"/>
      <c r="E55" s="174"/>
      <c r="F55" s="173">
        <f>B55-E55+C55-D55</f>
        <v>0</v>
      </c>
      <c r="G55" s="177"/>
      <c r="H55" s="172"/>
      <c r="I55" s="172"/>
      <c r="J55" s="172"/>
      <c r="K55" s="172"/>
      <c r="L55" s="172">
        <f>-F55</f>
        <v>0</v>
      </c>
      <c r="M55" s="172"/>
      <c r="N55" s="172"/>
      <c r="O55" s="171"/>
    </row>
    <row r="56" spans="1:15" ht="13.8" thickBot="1" x14ac:dyDescent="0.3">
      <c r="A56" s="63" t="s">
        <v>244</v>
      </c>
      <c r="B56" s="176">
        <f>SUM(B40:B55)*-1</f>
        <v>377537.4200000001</v>
      </c>
      <c r="C56" s="175"/>
      <c r="D56" s="174">
        <f>+B56</f>
        <v>377537.4200000001</v>
      </c>
      <c r="E56" s="174"/>
      <c r="F56" s="173">
        <f>B56-E56+C56-D56</f>
        <v>0</v>
      </c>
      <c r="G56" s="172"/>
      <c r="H56" s="172"/>
      <c r="I56" s="172"/>
      <c r="J56" s="172"/>
      <c r="K56" s="172"/>
      <c r="L56" s="172">
        <f>-F56</f>
        <v>0</v>
      </c>
      <c r="M56" s="172"/>
      <c r="N56" s="172"/>
      <c r="O56" s="171"/>
    </row>
    <row r="57" spans="1:15" ht="13.8" thickBot="1" x14ac:dyDescent="0.3">
      <c r="A57" s="56" t="s">
        <v>243</v>
      </c>
      <c r="B57" s="170">
        <f>+B56+B37</f>
        <v>0</v>
      </c>
      <c r="C57" s="170"/>
      <c r="D57" s="169"/>
      <c r="E57" s="164"/>
      <c r="F57" s="163"/>
      <c r="G57" s="167"/>
      <c r="H57" s="167"/>
      <c r="I57" s="167"/>
      <c r="J57" s="167"/>
      <c r="K57" s="167"/>
      <c r="L57" s="168"/>
      <c r="M57" s="168"/>
      <c r="N57" s="167"/>
      <c r="O57" s="166"/>
    </row>
    <row r="58" spans="1:15" ht="14.4" thickBot="1" x14ac:dyDescent="0.3">
      <c r="A58" s="51" t="s">
        <v>109</v>
      </c>
      <c r="B58" s="165"/>
      <c r="C58" s="165">
        <f>SUM(C9:C56)</f>
        <v>116691.41900119427</v>
      </c>
      <c r="D58" s="164">
        <f>SUM(D9:D57)</f>
        <v>116691.41900119424</v>
      </c>
      <c r="E58" s="164"/>
      <c r="F58" s="163">
        <f>B58-E58+C58-D58</f>
        <v>0</v>
      </c>
      <c r="G58" s="162">
        <f t="shared" ref="G58:N58" si="3">SUM(G9:G56)</f>
        <v>59388.659999999996</v>
      </c>
      <c r="H58" s="162">
        <f t="shared" si="3"/>
        <v>0</v>
      </c>
      <c r="I58" s="162">
        <f t="shared" si="3"/>
        <v>-226795.63044741517</v>
      </c>
      <c r="J58" s="162">
        <f t="shared" si="3"/>
        <v>0</v>
      </c>
      <c r="K58" s="162">
        <f t="shared" si="3"/>
        <v>0</v>
      </c>
      <c r="L58" s="162">
        <f t="shared" si="3"/>
        <v>-267884.88230953872</v>
      </c>
      <c r="M58" s="162">
        <f t="shared" si="3"/>
        <v>-2831033.3223250243</v>
      </c>
      <c r="N58" s="162">
        <f t="shared" si="3"/>
        <v>3035198.16</v>
      </c>
      <c r="O58" s="161">
        <f>SUM(F58:N58)</f>
        <v>-231127.01508197794</v>
      </c>
    </row>
    <row r="59" spans="1:15" ht="15.6" x14ac:dyDescent="0.3">
      <c r="B59" s="146">
        <f>+B37+B56</f>
        <v>0</v>
      </c>
      <c r="D59" s="160">
        <f>D58-C58</f>
        <v>0</v>
      </c>
      <c r="O59" s="159">
        <f>O58-O9</f>
        <v>-4.747482598759234E-4</v>
      </c>
    </row>
    <row r="60" spans="1:15" x14ac:dyDescent="0.25">
      <c r="A60" s="42"/>
      <c r="B60" s="158"/>
      <c r="C60" s="158"/>
    </row>
    <row r="61" spans="1:15" ht="21" x14ac:dyDescent="0.4">
      <c r="A61" s="41" t="s">
        <v>236</v>
      </c>
      <c r="B61" s="157"/>
      <c r="C61" s="157"/>
      <c r="D61" s="156"/>
      <c r="E61" s="156"/>
    </row>
    <row r="62" spans="1:15" ht="15" x14ac:dyDescent="0.25">
      <c r="A62" s="36"/>
      <c r="B62" s="153"/>
      <c r="C62" s="153"/>
      <c r="D62" s="148"/>
      <c r="E62" s="148">
        <v>0</v>
      </c>
    </row>
    <row r="63" spans="1:15" ht="15" x14ac:dyDescent="0.25">
      <c r="A63" s="35" t="s">
        <v>242</v>
      </c>
      <c r="B63" s="154">
        <f>+G58</f>
        <v>59388.659999999996</v>
      </c>
      <c r="C63" s="153"/>
      <c r="D63" s="151"/>
      <c r="E63" s="148"/>
    </row>
    <row r="64" spans="1:15" ht="15" x14ac:dyDescent="0.25">
      <c r="A64" s="35" t="s">
        <v>241</v>
      </c>
      <c r="B64" s="154">
        <f>+H58</f>
        <v>0</v>
      </c>
      <c r="C64" s="153"/>
      <c r="D64" s="151"/>
      <c r="E64" s="148"/>
    </row>
    <row r="65" spans="1:5" ht="15" x14ac:dyDescent="0.25">
      <c r="A65" s="35" t="s">
        <v>240</v>
      </c>
      <c r="B65" s="154">
        <f>+I58</f>
        <v>-226795.63044741517</v>
      </c>
      <c r="C65" s="153"/>
      <c r="D65" s="151"/>
      <c r="E65" s="148"/>
    </row>
    <row r="66" spans="1:5" ht="15" x14ac:dyDescent="0.25">
      <c r="A66" s="35" t="s">
        <v>239</v>
      </c>
      <c r="B66" s="154">
        <f>+K58</f>
        <v>0</v>
      </c>
      <c r="C66" s="153"/>
      <c r="D66" s="151"/>
      <c r="E66" s="148"/>
    </row>
    <row r="67" spans="1:5" ht="15" x14ac:dyDescent="0.25">
      <c r="A67" s="35" t="s">
        <v>238</v>
      </c>
      <c r="B67" s="154">
        <f>+L58</f>
        <v>-267884.88230953872</v>
      </c>
      <c r="C67" s="153"/>
      <c r="D67" s="151"/>
      <c r="E67" s="148"/>
    </row>
    <row r="68" spans="1:5" ht="15" x14ac:dyDescent="0.25">
      <c r="A68" s="35" t="s">
        <v>237</v>
      </c>
      <c r="B68" s="154">
        <f>+J58</f>
        <v>0</v>
      </c>
      <c r="C68" s="153"/>
      <c r="D68" s="151"/>
      <c r="E68" s="148"/>
    </row>
    <row r="69" spans="1:5" ht="15" x14ac:dyDescent="0.25">
      <c r="A69" s="36"/>
      <c r="B69" s="154"/>
      <c r="C69" s="153"/>
      <c r="D69" s="151"/>
      <c r="E69" s="148"/>
    </row>
    <row r="70" spans="1:5" ht="15.6" x14ac:dyDescent="0.3">
      <c r="A70" s="33" t="s">
        <v>236</v>
      </c>
      <c r="B70" s="154"/>
      <c r="C70" s="155">
        <f>SUM(B63:B68)</f>
        <v>-435291.85275695391</v>
      </c>
      <c r="D70" s="151"/>
      <c r="E70" s="148"/>
    </row>
    <row r="71" spans="1:5" ht="15" x14ac:dyDescent="0.25">
      <c r="A71" s="36"/>
      <c r="B71" s="154"/>
      <c r="C71" s="153"/>
      <c r="D71" s="151"/>
      <c r="E71" s="148"/>
    </row>
    <row r="72" spans="1:5" ht="15" x14ac:dyDescent="0.25">
      <c r="A72" s="35" t="s">
        <v>317</v>
      </c>
      <c r="B72" s="149">
        <f>+M16</f>
        <v>-1299457.9164701393</v>
      </c>
      <c r="C72" s="153"/>
      <c r="D72" s="151"/>
      <c r="E72" s="148"/>
    </row>
    <row r="73" spans="1:5" ht="15" x14ac:dyDescent="0.25">
      <c r="A73" s="35" t="s">
        <v>235</v>
      </c>
      <c r="B73" s="149">
        <f>+M17+M19</f>
        <v>-26433.75</v>
      </c>
      <c r="C73" s="153"/>
      <c r="D73" s="151"/>
      <c r="E73" s="148"/>
    </row>
    <row r="74" spans="1:5" ht="15" x14ac:dyDescent="0.25">
      <c r="A74" s="35" t="s">
        <v>234</v>
      </c>
      <c r="B74" s="149">
        <f>+M15</f>
        <v>-1505141.655854885</v>
      </c>
      <c r="C74" s="153"/>
      <c r="D74" s="151"/>
      <c r="E74" s="148"/>
    </row>
    <row r="75" spans="1:5" ht="15" x14ac:dyDescent="0.25">
      <c r="A75" s="35" t="s">
        <v>233</v>
      </c>
      <c r="B75" s="149">
        <v>0</v>
      </c>
      <c r="C75" s="153"/>
      <c r="D75" s="151"/>
      <c r="E75" s="148"/>
    </row>
    <row r="76" spans="1:5" ht="15" x14ac:dyDescent="0.25">
      <c r="A76" s="35" t="s">
        <v>232</v>
      </c>
      <c r="B76" s="149">
        <v>0</v>
      </c>
      <c r="C76" s="153"/>
      <c r="D76" s="151"/>
      <c r="E76" s="148"/>
    </row>
    <row r="77" spans="1:5" ht="15" x14ac:dyDescent="0.25">
      <c r="A77" s="35"/>
      <c r="B77" s="149"/>
      <c r="C77" s="153"/>
      <c r="D77" s="151"/>
      <c r="E77" s="148"/>
    </row>
    <row r="78" spans="1:5" ht="15" x14ac:dyDescent="0.25">
      <c r="A78" s="35"/>
      <c r="B78" s="154">
        <v>0</v>
      </c>
      <c r="C78" s="153"/>
      <c r="D78" s="151"/>
      <c r="E78" s="148"/>
    </row>
    <row r="79" spans="1:5" ht="15" x14ac:dyDescent="0.25">
      <c r="A79" s="36"/>
      <c r="B79" s="154"/>
      <c r="C79" s="153"/>
      <c r="D79" s="151"/>
      <c r="E79" s="148"/>
    </row>
    <row r="80" spans="1:5" ht="15.6" x14ac:dyDescent="0.3">
      <c r="A80" s="33" t="s">
        <v>231</v>
      </c>
      <c r="B80" s="154"/>
      <c r="C80" s="155">
        <f>SUM(B72:B78)</f>
        <v>-2831033.3223250243</v>
      </c>
      <c r="D80" s="151"/>
      <c r="E80" s="148"/>
    </row>
    <row r="81" spans="1:5" ht="15" x14ac:dyDescent="0.25">
      <c r="A81" s="36"/>
      <c r="B81" s="154"/>
      <c r="C81" s="153"/>
      <c r="D81" s="151"/>
      <c r="E81" s="148"/>
    </row>
    <row r="82" spans="1:5" ht="15.6" x14ac:dyDescent="0.3">
      <c r="A82" s="33" t="s">
        <v>230</v>
      </c>
      <c r="B82" s="154"/>
      <c r="C82" s="153"/>
      <c r="D82" s="151"/>
      <c r="E82" s="148"/>
    </row>
    <row r="83" spans="1:5" ht="15" x14ac:dyDescent="0.25">
      <c r="A83" s="36"/>
      <c r="B83" s="154"/>
      <c r="C83" s="153"/>
      <c r="D83" s="151"/>
      <c r="E83" s="148"/>
    </row>
    <row r="84" spans="1:5" ht="15" x14ac:dyDescent="0.25">
      <c r="A84" s="35" t="s">
        <v>229</v>
      </c>
      <c r="B84" s="154">
        <f>+N24</f>
        <v>0</v>
      </c>
      <c r="C84" s="153"/>
      <c r="D84" s="151"/>
      <c r="E84" s="148"/>
    </row>
    <row r="85" spans="1:5" ht="15" x14ac:dyDescent="0.25">
      <c r="A85" s="35" t="s">
        <v>228</v>
      </c>
      <c r="B85" s="149">
        <f>+N36</f>
        <v>-104801.84</v>
      </c>
      <c r="C85" s="153"/>
      <c r="D85" s="151"/>
      <c r="E85" s="148"/>
    </row>
    <row r="86" spans="1:5" ht="15" x14ac:dyDescent="0.25">
      <c r="A86" s="35" t="s">
        <v>227</v>
      </c>
      <c r="B86" s="154">
        <f>+N30</f>
        <v>3140000</v>
      </c>
      <c r="C86" s="153"/>
      <c r="D86" s="151"/>
      <c r="E86" s="148"/>
    </row>
    <row r="87" spans="1:5" ht="15" x14ac:dyDescent="0.25">
      <c r="A87" s="36"/>
      <c r="B87" s="154"/>
      <c r="C87" s="153"/>
      <c r="D87" s="151"/>
      <c r="E87" s="148"/>
    </row>
    <row r="88" spans="1:5" ht="15.6" x14ac:dyDescent="0.3">
      <c r="A88" s="33" t="s">
        <v>226</v>
      </c>
      <c r="B88" s="154"/>
      <c r="C88" s="155">
        <f>SUM(B84:B86)</f>
        <v>3035198.16</v>
      </c>
      <c r="D88" s="151"/>
      <c r="E88" s="148"/>
    </row>
    <row r="89" spans="1:5" ht="15" x14ac:dyDescent="0.25">
      <c r="A89" s="36"/>
      <c r="B89" s="154"/>
      <c r="C89" s="153"/>
      <c r="D89" s="151"/>
      <c r="E89" s="148"/>
    </row>
    <row r="90" spans="1:5" ht="15.6" x14ac:dyDescent="0.3">
      <c r="A90" s="35" t="s">
        <v>225</v>
      </c>
      <c r="B90" s="154"/>
      <c r="C90" s="153">
        <f>C88+C80+C70</f>
        <v>-231127.01508197805</v>
      </c>
      <c r="D90" s="151">
        <f>O58</f>
        <v>-231127.01508197794</v>
      </c>
      <c r="E90" s="150">
        <f>D90-C90</f>
        <v>0</v>
      </c>
    </row>
    <row r="91" spans="1:5" ht="15.6" x14ac:dyDescent="0.3">
      <c r="A91" s="35" t="s">
        <v>224</v>
      </c>
      <c r="B91" s="154"/>
      <c r="C91" s="153">
        <f>+E9</f>
        <v>261013.46460722969</v>
      </c>
      <c r="D91" s="151"/>
      <c r="E91" s="150"/>
    </row>
    <row r="92" spans="1:5" ht="15.6" x14ac:dyDescent="0.3">
      <c r="A92" s="33" t="s">
        <v>223</v>
      </c>
      <c r="B92" s="152"/>
      <c r="C92" s="152">
        <f>SUM(C90:C91)</f>
        <v>29886.449525251635</v>
      </c>
      <c r="D92" s="151">
        <f>B9</f>
        <v>29886.45</v>
      </c>
      <c r="E92" s="150">
        <f>D92-C92</f>
        <v>4.747483653773088E-4</v>
      </c>
    </row>
    <row r="93" spans="1:5" ht="15" x14ac:dyDescent="0.25">
      <c r="A93" s="28"/>
      <c r="B93" s="149"/>
      <c r="C93" s="149"/>
      <c r="D93" s="148"/>
      <c r="E93" s="148"/>
    </row>
    <row r="94" spans="1:5" ht="15" x14ac:dyDescent="0.25">
      <c r="A94" s="28"/>
      <c r="B94" s="149"/>
      <c r="C94" s="149"/>
      <c r="D94" s="148"/>
      <c r="E94" s="148"/>
    </row>
    <row r="95" spans="1:5" ht="15" x14ac:dyDescent="0.25">
      <c r="A95" s="28"/>
      <c r="B95" s="149"/>
      <c r="C95" s="149"/>
      <c r="D95" s="148"/>
      <c r="E95" s="148"/>
    </row>
    <row r="96" spans="1:5" ht="15" x14ac:dyDescent="0.25">
      <c r="A96" s="28"/>
      <c r="B96" s="149"/>
      <c r="C96" s="149"/>
      <c r="D96" s="148"/>
      <c r="E96" s="148"/>
    </row>
    <row r="97" spans="1:5" ht="15" x14ac:dyDescent="0.25">
      <c r="A97" s="28"/>
      <c r="B97" s="149"/>
      <c r="C97" s="149"/>
      <c r="D97" s="148"/>
      <c r="E97" s="148"/>
    </row>
    <row r="98" spans="1:5" ht="15" x14ac:dyDescent="0.25">
      <c r="A98" s="28"/>
      <c r="B98" s="149"/>
      <c r="C98" s="149"/>
      <c r="D98" s="148"/>
      <c r="E98" s="148"/>
    </row>
    <row r="99" spans="1:5" ht="15" x14ac:dyDescent="0.25">
      <c r="A99" s="28"/>
      <c r="B99" s="149"/>
      <c r="C99" s="149"/>
      <c r="D99" s="148"/>
      <c r="E99" s="148"/>
    </row>
    <row r="100" spans="1:5" ht="15" x14ac:dyDescent="0.25">
      <c r="A100" s="28"/>
      <c r="B100" s="149"/>
      <c r="C100" s="149"/>
      <c r="D100" s="148"/>
      <c r="E100" s="148"/>
    </row>
    <row r="101" spans="1:5" ht="15" x14ac:dyDescent="0.25">
      <c r="A101" s="28"/>
      <c r="B101" s="149"/>
      <c r="C101" s="149"/>
      <c r="D101" s="148"/>
      <c r="E101" s="148"/>
    </row>
  </sheetData>
  <printOptions gridLines="1" gridLinesSet="0"/>
  <pageMargins left="0.74803149606299213" right="0.74803149606299213" top="0.98425196850393704" bottom="0.98425196850393704" header="0.51181102362204722" footer="0.51181102362204722"/>
  <pageSetup paperSize="9" scale="6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showGridLines="0" topLeftCell="B24" zoomScaleNormal="100" workbookViewId="0">
      <selection activeCell="A32" sqref="A32"/>
    </sheetView>
  </sheetViews>
  <sheetFormatPr baseColWidth="10" defaultColWidth="9.109375" defaultRowHeight="15.6" x14ac:dyDescent="0.35"/>
  <cols>
    <col min="1" max="1" width="3.6640625" style="280" customWidth="1"/>
    <col min="2" max="2" width="70.88671875" style="280" customWidth="1"/>
    <col min="3" max="3" width="19.88671875" style="280" customWidth="1"/>
    <col min="4" max="4" width="2.88671875" style="280" customWidth="1"/>
    <col min="5" max="5" width="16.109375" style="280" customWidth="1"/>
    <col min="6" max="6" width="15.109375" style="280" bestFit="1" customWidth="1"/>
    <col min="7" max="7" width="7.44140625" style="280" customWidth="1"/>
    <col min="8" max="8" width="19.6640625" style="405" customWidth="1"/>
    <col min="9" max="9" width="12.33203125" style="280" bestFit="1" customWidth="1"/>
    <col min="10" max="10" width="12.88671875" style="280" bestFit="1" customWidth="1"/>
    <col min="11" max="16384" width="9.109375" style="280"/>
  </cols>
  <sheetData>
    <row r="1" spans="1:9" x14ac:dyDescent="0.35">
      <c r="B1" s="284"/>
      <c r="C1" s="284"/>
      <c r="E1" s="284"/>
      <c r="F1" s="284"/>
      <c r="G1" s="284"/>
      <c r="H1" s="404"/>
    </row>
    <row r="2" spans="1:9" x14ac:dyDescent="0.35">
      <c r="B2" s="284"/>
      <c r="C2" s="371"/>
      <c r="E2" s="683"/>
      <c r="F2" s="683"/>
      <c r="G2" s="683"/>
      <c r="H2" s="683"/>
    </row>
    <row r="3" spans="1:9" ht="26.4" x14ac:dyDescent="0.6">
      <c r="B3" s="675" t="s">
        <v>168</v>
      </c>
      <c r="C3" s="675"/>
      <c r="D3" s="675"/>
      <c r="E3" s="675"/>
      <c r="F3" s="371"/>
      <c r="G3" s="684"/>
      <c r="H3" s="684"/>
    </row>
    <row r="4" spans="1:9" ht="26.4" x14ac:dyDescent="0.6">
      <c r="B4" s="678" t="s">
        <v>202</v>
      </c>
      <c r="C4" s="678"/>
      <c r="D4" s="678"/>
      <c r="E4" s="678"/>
    </row>
    <row r="5" spans="1:9" x14ac:dyDescent="0.35">
      <c r="B5" s="670" t="s">
        <v>348</v>
      </c>
      <c r="C5" s="670"/>
      <c r="D5" s="670"/>
      <c r="E5" s="670"/>
    </row>
    <row r="6" spans="1:9" x14ac:dyDescent="0.35">
      <c r="B6" s="668" t="s">
        <v>199</v>
      </c>
      <c r="C6" s="668"/>
      <c r="D6" s="668"/>
      <c r="E6" s="668"/>
    </row>
    <row r="7" spans="1:9" x14ac:dyDescent="0.35">
      <c r="C7" s="406"/>
    </row>
    <row r="8" spans="1:9" x14ac:dyDescent="0.35">
      <c r="A8" s="333"/>
      <c r="B8" s="407"/>
      <c r="C8" s="681">
        <f>+INDICE!P3</f>
        <v>2022</v>
      </c>
      <c r="D8" s="408"/>
      <c r="E8" s="679">
        <f>+INDICE!P2</f>
        <v>2021</v>
      </c>
      <c r="G8" s="399"/>
      <c r="I8" s="399"/>
    </row>
    <row r="9" spans="1:9" x14ac:dyDescent="0.35">
      <c r="B9" s="409"/>
      <c r="C9" s="682"/>
      <c r="D9" s="410"/>
      <c r="E9" s="680"/>
      <c r="G9" s="399"/>
      <c r="I9" s="399"/>
    </row>
    <row r="10" spans="1:9" x14ac:dyDescent="0.35">
      <c r="A10" s="333"/>
      <c r="B10" s="409"/>
      <c r="C10" s="411" t="s">
        <v>77</v>
      </c>
      <c r="D10" s="411"/>
      <c r="E10" s="412" t="s">
        <v>77</v>
      </c>
      <c r="G10" s="399"/>
      <c r="I10" s="399"/>
    </row>
    <row r="11" spans="1:9" x14ac:dyDescent="0.35">
      <c r="B11" s="413"/>
      <c r="C11" s="414"/>
      <c r="D11" s="415"/>
      <c r="E11" s="416"/>
      <c r="G11" s="399"/>
      <c r="I11" s="399"/>
    </row>
    <row r="12" spans="1:9" x14ac:dyDescent="0.35">
      <c r="A12" s="333"/>
      <c r="B12" s="417" t="s">
        <v>1</v>
      </c>
      <c r="C12" s="418">
        <f>+'1.BG USD'!D12</f>
        <v>261013.46460722969</v>
      </c>
      <c r="D12" s="419"/>
      <c r="E12" s="420"/>
      <c r="G12" s="399"/>
      <c r="I12" s="399"/>
    </row>
    <row r="13" spans="1:9" x14ac:dyDescent="0.35">
      <c r="B13" s="413" t="s">
        <v>2</v>
      </c>
      <c r="C13" s="419"/>
      <c r="D13" s="419"/>
      <c r="E13" s="421"/>
      <c r="G13" s="399"/>
      <c r="I13" s="399"/>
    </row>
    <row r="14" spans="1:9" x14ac:dyDescent="0.35">
      <c r="A14" s="333"/>
      <c r="B14" s="417" t="s">
        <v>78</v>
      </c>
      <c r="C14" s="422"/>
      <c r="D14" s="422"/>
      <c r="E14" s="423"/>
      <c r="G14" s="399"/>
      <c r="I14" s="399"/>
    </row>
    <row r="15" spans="1:9" x14ac:dyDescent="0.35">
      <c r="B15" s="417" t="s">
        <v>4</v>
      </c>
      <c r="C15" s="422"/>
      <c r="D15" s="422"/>
      <c r="E15" s="423"/>
      <c r="G15" s="399"/>
      <c r="I15" s="399"/>
    </row>
    <row r="16" spans="1:9" x14ac:dyDescent="0.35">
      <c r="A16" s="333"/>
      <c r="B16" s="413" t="s">
        <v>5</v>
      </c>
      <c r="C16" s="422">
        <f>+'Flujo de Fondos Calculo GS U$S'!B63</f>
        <v>59388.659999999996</v>
      </c>
      <c r="D16" s="422"/>
      <c r="E16" s="423"/>
      <c r="G16" s="399"/>
      <c r="I16" s="399"/>
    </row>
    <row r="17" spans="1:10" x14ac:dyDescent="0.35">
      <c r="B17" s="413" t="s">
        <v>79</v>
      </c>
      <c r="C17" s="422"/>
      <c r="D17" s="422"/>
      <c r="E17" s="423"/>
      <c r="G17" s="399"/>
      <c r="I17" s="399"/>
    </row>
    <row r="18" spans="1:10" x14ac:dyDescent="0.35">
      <c r="A18" s="333"/>
      <c r="B18" s="413" t="s">
        <v>210</v>
      </c>
      <c r="C18" s="422">
        <f>+'Flujo de Fondos Calculo GS U$S'!B67+'Flujo de Fondos Calculo GS U$S'!B65</f>
        <v>-494680.51275695389</v>
      </c>
      <c r="D18" s="422"/>
      <c r="E18" s="424"/>
      <c r="G18" s="399"/>
      <c r="H18" s="317"/>
      <c r="I18" s="399"/>
    </row>
    <row r="19" spans="1:10" x14ac:dyDescent="0.35">
      <c r="B19" s="413" t="s">
        <v>8</v>
      </c>
      <c r="C19" s="425"/>
      <c r="D19" s="422"/>
      <c r="E19" s="426"/>
      <c r="G19" s="399"/>
      <c r="H19" s="317"/>
      <c r="I19" s="399"/>
    </row>
    <row r="20" spans="1:10" x14ac:dyDescent="0.35">
      <c r="A20" s="333"/>
      <c r="B20" s="413" t="s">
        <v>9</v>
      </c>
      <c r="C20" s="354">
        <f>SUM(C16:C19)</f>
        <v>-435291.85275695391</v>
      </c>
      <c r="D20" s="419"/>
      <c r="E20" s="427">
        <f>SUM(E16:E19)</f>
        <v>0</v>
      </c>
      <c r="G20" s="399"/>
      <c r="H20" s="317"/>
      <c r="I20" s="399"/>
    </row>
    <row r="21" spans="1:10" x14ac:dyDescent="0.35">
      <c r="B21" s="413"/>
      <c r="C21" s="422"/>
      <c r="D21" s="422"/>
      <c r="E21" s="423"/>
      <c r="G21" s="399"/>
      <c r="I21" s="399"/>
    </row>
    <row r="22" spans="1:10" x14ac:dyDescent="0.35">
      <c r="A22" s="333"/>
      <c r="B22" s="413" t="s">
        <v>10</v>
      </c>
      <c r="C22" s="422"/>
      <c r="D22" s="422"/>
      <c r="E22" s="423"/>
      <c r="G22" s="399"/>
      <c r="I22" s="399"/>
    </row>
    <row r="23" spans="1:10" x14ac:dyDescent="0.35">
      <c r="B23" s="417" t="s">
        <v>11</v>
      </c>
      <c r="C23" s="422"/>
      <c r="D23" s="422"/>
      <c r="E23" s="423"/>
      <c r="G23" s="399"/>
      <c r="H23" s="428"/>
      <c r="I23" s="399"/>
    </row>
    <row r="24" spans="1:10" x14ac:dyDescent="0.35">
      <c r="A24" s="333"/>
      <c r="B24" s="413" t="s">
        <v>12</v>
      </c>
      <c r="C24" s="422">
        <f>+'Flujo de Fondos Calculo GS U$S'!C80</f>
        <v>-2831033.3223250243</v>
      </c>
      <c r="D24" s="422"/>
      <c r="E24" s="423"/>
      <c r="G24" s="399"/>
      <c r="H24" s="428"/>
      <c r="I24" s="399"/>
    </row>
    <row r="25" spans="1:10" x14ac:dyDescent="0.35">
      <c r="B25" s="413" t="s">
        <v>13</v>
      </c>
      <c r="C25" s="429">
        <f>+'Flujo de Fondos Calculo GS U$S'!C88</f>
        <v>3035198.16</v>
      </c>
      <c r="D25" s="422"/>
      <c r="E25" s="430"/>
    </row>
    <row r="26" spans="1:10" x14ac:dyDescent="0.35">
      <c r="A26" s="333"/>
      <c r="B26" s="413" t="s">
        <v>14</v>
      </c>
      <c r="C26" s="354">
        <f>SUM(C24:C25)</f>
        <v>204164.83767497586</v>
      </c>
      <c r="D26" s="422"/>
      <c r="E26" s="423">
        <f>SUM(E24:E25)</f>
        <v>0</v>
      </c>
    </row>
    <row r="27" spans="1:10" ht="16.2" thickBot="1" x14ac:dyDescent="0.4">
      <c r="B27" s="431" t="s">
        <v>15</v>
      </c>
      <c r="C27" s="432">
        <f>+C12+C20+C26</f>
        <v>29886.449525251635</v>
      </c>
      <c r="D27" s="356"/>
      <c r="E27" s="433">
        <f>+E12+E20+E26</f>
        <v>0</v>
      </c>
      <c r="H27" s="317"/>
      <c r="I27" s="399"/>
      <c r="J27" s="399"/>
    </row>
    <row r="28" spans="1:10" ht="16.2" thickTop="1" x14ac:dyDescent="0.35">
      <c r="A28" s="333"/>
      <c r="B28" s="409"/>
      <c r="C28" s="618">
        <f>+C27-'1.BG USD'!C12</f>
        <v>-4.747483653773088E-4</v>
      </c>
      <c r="D28" s="435"/>
      <c r="E28" s="436"/>
      <c r="I28" s="399"/>
    </row>
    <row r="29" spans="1:10" x14ac:dyDescent="0.35">
      <c r="C29" s="437"/>
      <c r="D29" s="438"/>
      <c r="E29" s="438"/>
    </row>
    <row r="30" spans="1:10" x14ac:dyDescent="0.35">
      <c r="B30" s="280" t="s">
        <v>159</v>
      </c>
      <c r="C30" s="438"/>
      <c r="D30" s="438"/>
      <c r="E30" s="438"/>
    </row>
    <row r="31" spans="1:10" x14ac:dyDescent="0.35">
      <c r="C31" s="399"/>
      <c r="D31" s="399"/>
      <c r="E31" s="399"/>
    </row>
    <row r="32" spans="1:10" x14ac:dyDescent="0.35">
      <c r="B32" s="333"/>
      <c r="C32" s="399"/>
      <c r="D32" s="399"/>
      <c r="E32" s="399"/>
      <c r="F32" s="399"/>
      <c r="G32" s="399"/>
      <c r="I32" s="399"/>
    </row>
    <row r="33" spans="2:7" x14ac:dyDescent="0.35">
      <c r="B33" s="370"/>
      <c r="C33" s="399"/>
      <c r="D33" s="399"/>
      <c r="E33" s="399"/>
    </row>
    <row r="34" spans="2:7" x14ac:dyDescent="0.35">
      <c r="B34" s="333"/>
      <c r="C34" s="428"/>
      <c r="D34" s="399"/>
      <c r="E34" s="399"/>
    </row>
    <row r="35" spans="2:7" x14ac:dyDescent="0.35">
      <c r="C35" s="399"/>
      <c r="D35" s="399"/>
      <c r="E35" s="399"/>
      <c r="F35" s="439"/>
    </row>
    <row r="36" spans="2:7" x14ac:dyDescent="0.35">
      <c r="B36" s="382"/>
      <c r="C36" s="677"/>
      <c r="D36" s="677"/>
      <c r="E36" s="677"/>
      <c r="F36" s="677"/>
      <c r="G36" s="677"/>
    </row>
    <row r="37" spans="2:7" x14ac:dyDescent="0.35">
      <c r="B37" s="382"/>
      <c r="C37" s="677"/>
      <c r="D37" s="677"/>
      <c r="E37" s="677"/>
      <c r="F37" s="677"/>
      <c r="G37" s="677"/>
    </row>
    <row r="38" spans="2:7" x14ac:dyDescent="0.35">
      <c r="C38" s="399"/>
      <c r="D38" s="399"/>
      <c r="E38" s="399"/>
    </row>
  </sheetData>
  <mergeCells count="11">
    <mergeCell ref="C37:G37"/>
    <mergeCell ref="B3:E3"/>
    <mergeCell ref="E8:E9"/>
    <mergeCell ref="C8:C9"/>
    <mergeCell ref="E2:F2"/>
    <mergeCell ref="B4:E4"/>
    <mergeCell ref="G2:H2"/>
    <mergeCell ref="G3:H3"/>
    <mergeCell ref="C36:G36"/>
    <mergeCell ref="B5:E5"/>
    <mergeCell ref="B6:E6"/>
  </mergeCells>
  <pageMargins left="0.25" right="0.25"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6"/>
  <sheetViews>
    <sheetView showGridLines="0" topLeftCell="A45" zoomScale="85" zoomScaleNormal="85" workbookViewId="0">
      <selection activeCell="A32" sqref="A32"/>
    </sheetView>
  </sheetViews>
  <sheetFormatPr baseColWidth="10" defaultColWidth="9.109375" defaultRowHeight="15.6" x14ac:dyDescent="0.35"/>
  <cols>
    <col min="1" max="1" width="11.44140625" style="262" customWidth="1"/>
    <col min="2" max="2" width="65.44140625" style="262" customWidth="1"/>
    <col min="3" max="3" width="19.88671875" style="336" customWidth="1"/>
    <col min="4" max="4" width="19.109375" style="336" customWidth="1"/>
    <col min="5" max="5" width="17.33203125" style="262" bestFit="1" customWidth="1"/>
    <col min="6" max="6" width="15.88671875" style="289" customWidth="1"/>
    <col min="7" max="7" width="16.44140625" style="289" bestFit="1" customWidth="1"/>
    <col min="8" max="16384" width="9.109375" style="262"/>
  </cols>
  <sheetData>
    <row r="1" spans="1:8" s="288" customFormat="1" x14ac:dyDescent="0.35">
      <c r="A1" s="280"/>
      <c r="B1" s="284"/>
      <c r="C1" s="285"/>
      <c r="D1" s="440"/>
      <c r="E1" s="284"/>
      <c r="F1" s="287"/>
      <c r="G1" s="287"/>
    </row>
    <row r="2" spans="1:8" s="288" customFormat="1" ht="26.4" x14ac:dyDescent="0.6">
      <c r="A2" s="280"/>
      <c r="B2" s="675" t="s">
        <v>168</v>
      </c>
      <c r="C2" s="675"/>
      <c r="D2" s="675"/>
      <c r="E2" s="441"/>
      <c r="F2" s="287"/>
      <c r="G2" s="287"/>
    </row>
    <row r="3" spans="1:8" ht="21.75" customHeight="1" x14ac:dyDescent="0.6">
      <c r="B3" s="678" t="s">
        <v>200</v>
      </c>
      <c r="C3" s="678"/>
      <c r="D3" s="678"/>
    </row>
    <row r="4" spans="1:8" ht="21.75" customHeight="1" x14ac:dyDescent="0.35">
      <c r="B4" s="670" t="s">
        <v>345</v>
      </c>
      <c r="C4" s="670"/>
      <c r="D4" s="670"/>
      <c r="E4" s="280"/>
    </row>
    <row r="5" spans="1:8" ht="14.25" customHeight="1" x14ac:dyDescent="0.35">
      <c r="B5" s="685" t="s">
        <v>56</v>
      </c>
      <c r="C5" s="685"/>
      <c r="D5" s="685"/>
      <c r="G5" s="317"/>
      <c r="H5" s="280"/>
    </row>
    <row r="6" spans="1:8" ht="14.25" customHeight="1" thickBot="1" x14ac:dyDescent="0.4">
      <c r="B6" s="442"/>
      <c r="C6" s="443">
        <f>+INDICE!M2</f>
        <v>6837.9</v>
      </c>
      <c r="D6" s="442"/>
      <c r="G6" s="317"/>
      <c r="H6" s="280"/>
    </row>
    <row r="7" spans="1:8" x14ac:dyDescent="0.35">
      <c r="B7" s="293" t="s">
        <v>37</v>
      </c>
      <c r="C7" s="444">
        <f>+INDICE!P3</f>
        <v>2022</v>
      </c>
      <c r="D7" s="445">
        <f>+INDICE!P2</f>
        <v>2021</v>
      </c>
      <c r="G7" s="317"/>
      <c r="H7" s="280"/>
    </row>
    <row r="8" spans="1:8" ht="17.25" customHeight="1" x14ac:dyDescent="0.35">
      <c r="B8" s="296" t="s">
        <v>38</v>
      </c>
      <c r="C8" s="446"/>
      <c r="D8" s="447"/>
      <c r="F8" s="299">
        <v>6979.36</v>
      </c>
      <c r="G8" s="299">
        <v>6979.36</v>
      </c>
      <c r="H8" s="280"/>
    </row>
    <row r="9" spans="1:8" ht="15" customHeight="1" x14ac:dyDescent="0.35">
      <c r="B9" s="296" t="s">
        <v>39</v>
      </c>
      <c r="C9" s="446"/>
      <c r="D9" s="447"/>
      <c r="G9" s="317"/>
      <c r="H9" s="280"/>
    </row>
    <row r="10" spans="1:8" ht="14.25" customHeight="1" x14ac:dyDescent="0.35">
      <c r="B10" s="301" t="s">
        <v>40</v>
      </c>
      <c r="C10" s="446">
        <f>+'1.BG USD'!C10*INDICE!M2</f>
        <v>204360556.45499998</v>
      </c>
      <c r="D10" s="447">
        <v>1793373924</v>
      </c>
      <c r="E10" s="363"/>
      <c r="G10" s="317"/>
      <c r="H10" s="280"/>
    </row>
    <row r="11" spans="1:8" ht="14.25" customHeight="1" x14ac:dyDescent="0.35">
      <c r="B11" s="304"/>
      <c r="C11" s="446"/>
      <c r="D11" s="447"/>
      <c r="G11" s="317"/>
      <c r="H11" s="280"/>
    </row>
    <row r="12" spans="1:8" x14ac:dyDescent="0.35">
      <c r="B12" s="301"/>
      <c r="C12" s="448">
        <f>SUM(C10:C11)</f>
        <v>204360556.45499998</v>
      </c>
      <c r="D12" s="449">
        <v>1793373924</v>
      </c>
      <c r="F12" s="450"/>
      <c r="G12" s="317"/>
      <c r="H12" s="280"/>
    </row>
    <row r="13" spans="1:8" x14ac:dyDescent="0.35">
      <c r="B13" s="296" t="s">
        <v>41</v>
      </c>
      <c r="C13" s="446"/>
      <c r="D13" s="447"/>
      <c r="G13" s="317"/>
      <c r="H13" s="280"/>
    </row>
    <row r="14" spans="1:8" x14ac:dyDescent="0.35">
      <c r="B14" s="304" t="s">
        <v>42</v>
      </c>
      <c r="C14" s="446">
        <f>+'1.BG USD'!C14*INDICE!M2</f>
        <v>3238716836.9369998</v>
      </c>
      <c r="D14" s="447">
        <v>395122925</v>
      </c>
      <c r="F14" s="450"/>
      <c r="G14" s="317"/>
      <c r="H14" s="280"/>
    </row>
    <row r="15" spans="1:8" x14ac:dyDescent="0.35">
      <c r="B15" s="304" t="s">
        <v>43</v>
      </c>
      <c r="C15" s="446">
        <f>+'1.BG USD'!C15*INDICE!M3</f>
        <v>0</v>
      </c>
      <c r="D15" s="447">
        <v>0</v>
      </c>
    </row>
    <row r="16" spans="1:8" x14ac:dyDescent="0.35">
      <c r="B16" s="304" t="str">
        <f>+'1.BG USD'!B16</f>
        <v>Activos Biologicos en Producción</v>
      </c>
      <c r="C16" s="446">
        <f>+'[5]BALANCE GENERAL'!$H$47</f>
        <v>24078035098</v>
      </c>
      <c r="D16" s="447">
        <v>11237815503</v>
      </c>
    </row>
    <row r="17" spans="2:7" x14ac:dyDescent="0.35">
      <c r="B17" s="296"/>
      <c r="C17" s="448">
        <f>SUM(C14:C16)</f>
        <v>27316751934.937</v>
      </c>
      <c r="D17" s="449">
        <v>11632938428</v>
      </c>
      <c r="F17" s="451"/>
      <c r="G17" s="450"/>
    </row>
    <row r="18" spans="2:7" x14ac:dyDescent="0.35">
      <c r="B18" s="296" t="str">
        <f>+'1.BG USD'!B18</f>
        <v>CREDITOS</v>
      </c>
      <c r="C18" s="446"/>
      <c r="D18" s="447">
        <v>0</v>
      </c>
      <c r="F18" s="451"/>
      <c r="G18" s="450"/>
    </row>
    <row r="19" spans="2:7" x14ac:dyDescent="0.35">
      <c r="B19" s="304" t="str">
        <f>+'1.BG USD'!B19</f>
        <v xml:space="preserve">Clientes </v>
      </c>
      <c r="C19" s="446">
        <f>+'1.BG USD'!C19*$C$6</f>
        <v>0</v>
      </c>
      <c r="D19" s="447">
        <v>20000000</v>
      </c>
      <c r="F19" s="451"/>
      <c r="G19" s="450"/>
    </row>
    <row r="20" spans="2:7" x14ac:dyDescent="0.35">
      <c r="B20" s="304" t="str">
        <f>+'1.BG USD'!B20</f>
        <v>Impuestos Corrientes</v>
      </c>
      <c r="C20" s="446">
        <f>+'1.BG USD'!C20*$C$6</f>
        <v>1374566897.8410001</v>
      </c>
      <c r="D20" s="447">
        <v>717999829</v>
      </c>
      <c r="F20" s="451"/>
      <c r="G20" s="450"/>
    </row>
    <row r="21" spans="2:7" x14ac:dyDescent="0.35">
      <c r="B21" s="304" t="str">
        <f>+'1.BG USD'!B21</f>
        <v>Anticipos a Proveedores</v>
      </c>
      <c r="C21" s="446">
        <f>+'1.BG USD'!C21*$C$6</f>
        <v>1514218970.6369998</v>
      </c>
      <c r="D21" s="447">
        <v>0</v>
      </c>
      <c r="F21" s="451"/>
      <c r="G21" s="450"/>
    </row>
    <row r="22" spans="2:7" x14ac:dyDescent="0.35">
      <c r="B22" s="304"/>
      <c r="C22" s="448">
        <f>SUM(C18:C21)</f>
        <v>2888785868.4779997</v>
      </c>
      <c r="D22" s="449">
        <v>737999829</v>
      </c>
      <c r="F22" s="451"/>
      <c r="G22" s="450"/>
    </row>
    <row r="23" spans="2:7" x14ac:dyDescent="0.35">
      <c r="B23" s="304"/>
      <c r="C23" s="446"/>
      <c r="D23" s="447"/>
      <c r="F23" s="337"/>
    </row>
    <row r="24" spans="2:7" x14ac:dyDescent="0.35">
      <c r="B24" s="296" t="str">
        <f>+'1.BG USD'!B24</f>
        <v>GASTOS PAGADOS POR ADELANTADO</v>
      </c>
      <c r="C24" s="446"/>
      <c r="D24" s="447"/>
    </row>
    <row r="25" spans="2:7" x14ac:dyDescent="0.35">
      <c r="B25" s="304" t="str">
        <f>+'1.BG USD'!B25</f>
        <v>Alquileres pagados por adelantado</v>
      </c>
      <c r="C25" s="446">
        <f>+'1.BG USD'!C27*INDICE!M2</f>
        <v>870533459.27399993</v>
      </c>
      <c r="D25" s="447">
        <v>1283530119</v>
      </c>
    </row>
    <row r="26" spans="2:7" x14ac:dyDescent="0.35">
      <c r="B26" s="304"/>
      <c r="C26" s="448">
        <f>+C25</f>
        <v>870533459.27399993</v>
      </c>
      <c r="D26" s="449">
        <v>1283530119</v>
      </c>
    </row>
    <row r="27" spans="2:7" x14ac:dyDescent="0.35">
      <c r="B27" s="304"/>
      <c r="C27" s="446"/>
      <c r="D27" s="447"/>
    </row>
    <row r="28" spans="2:7" x14ac:dyDescent="0.35">
      <c r="B28" s="296" t="s">
        <v>57</v>
      </c>
      <c r="C28" s="448">
        <f>+C12+C17+C22+C26</f>
        <v>31280431819.144001</v>
      </c>
      <c r="D28" s="449">
        <v>15447842300</v>
      </c>
    </row>
    <row r="29" spans="2:7" x14ac:dyDescent="0.35">
      <c r="B29" s="296"/>
      <c r="C29" s="452"/>
      <c r="D29" s="453"/>
    </row>
    <row r="30" spans="2:7" x14ac:dyDescent="0.35">
      <c r="B30" s="296" t="s">
        <v>44</v>
      </c>
      <c r="C30" s="452"/>
      <c r="D30" s="453"/>
    </row>
    <row r="31" spans="2:7" x14ac:dyDescent="0.35">
      <c r="B31" s="296" t="s">
        <v>41</v>
      </c>
      <c r="C31" s="452"/>
      <c r="D31" s="453"/>
      <c r="F31" s="451"/>
    </row>
    <row r="32" spans="2:7" ht="27.75" customHeight="1" x14ac:dyDescent="0.35">
      <c r="B32" s="304" t="s">
        <v>42</v>
      </c>
      <c r="C32" s="454">
        <f>+'1.BG USD'!C31*C6</f>
        <v>12813349348.799999</v>
      </c>
      <c r="D32" s="455">
        <v>5392657607</v>
      </c>
    </row>
    <row r="33" spans="2:5" x14ac:dyDescent="0.35">
      <c r="B33" s="304" t="s">
        <v>43</v>
      </c>
      <c r="C33" s="454">
        <v>0</v>
      </c>
      <c r="D33" s="455">
        <v>0</v>
      </c>
    </row>
    <row r="34" spans="2:5" x14ac:dyDescent="0.35">
      <c r="B34" s="304"/>
      <c r="C34" s="448">
        <f>+C32+C33</f>
        <v>12813349348.799999</v>
      </c>
      <c r="D34" s="449">
        <v>5392657607</v>
      </c>
    </row>
    <row r="35" spans="2:5" x14ac:dyDescent="0.35">
      <c r="B35" s="304"/>
      <c r="C35" s="452"/>
      <c r="D35" s="453"/>
    </row>
    <row r="36" spans="2:5" x14ac:dyDescent="0.35">
      <c r="B36" s="296" t="s">
        <v>215</v>
      </c>
      <c r="C36" s="456"/>
      <c r="D36" s="453"/>
    </row>
    <row r="37" spans="2:5" x14ac:dyDescent="0.35">
      <c r="B37" s="304" t="s">
        <v>216</v>
      </c>
      <c r="C37" s="457">
        <f>+'1.BG USD'!C36*C6</f>
        <v>180751339.125</v>
      </c>
      <c r="D37" s="453">
        <f>+'1.BG USD'!D36*D6</f>
        <v>0</v>
      </c>
    </row>
    <row r="38" spans="2:5" x14ac:dyDescent="0.35">
      <c r="B38" s="304" t="s">
        <v>217</v>
      </c>
      <c r="C38" s="458">
        <v>0</v>
      </c>
      <c r="D38" s="459">
        <v>0</v>
      </c>
    </row>
    <row r="39" spans="2:5" x14ac:dyDescent="0.35">
      <c r="B39" s="296"/>
      <c r="C39" s="456">
        <f>SUM(C37:C38)</f>
        <v>180751339.125</v>
      </c>
      <c r="D39" s="453">
        <f>SUM(D37:D38)</f>
        <v>0</v>
      </c>
    </row>
    <row r="40" spans="2:5" ht="16.2" thickBot="1" x14ac:dyDescent="0.4">
      <c r="B40" s="296"/>
      <c r="C40" s="460">
        <f>+C34+C39</f>
        <v>12994100687.924999</v>
      </c>
      <c r="D40" s="461">
        <f>+D34+D39</f>
        <v>5392657607</v>
      </c>
    </row>
    <row r="41" spans="2:5" ht="16.8" thickTop="1" thickBot="1" x14ac:dyDescent="0.4">
      <c r="B41" s="296" t="s">
        <v>45</v>
      </c>
      <c r="C41" s="462">
        <f>+C28+C40</f>
        <v>44274532507.069</v>
      </c>
      <c r="D41" s="463">
        <f>+D28+D40</f>
        <v>20840499907</v>
      </c>
    </row>
    <row r="42" spans="2:5" ht="15.75" customHeight="1" thickTop="1" x14ac:dyDescent="0.35">
      <c r="B42" s="320" t="s">
        <v>46</v>
      </c>
      <c r="C42" s="464"/>
      <c r="D42" s="465"/>
    </row>
    <row r="43" spans="2:5" x14ac:dyDescent="0.35">
      <c r="B43" s="296" t="s">
        <v>47</v>
      </c>
      <c r="C43" s="446"/>
      <c r="D43" s="447"/>
    </row>
    <row r="44" spans="2:5" x14ac:dyDescent="0.35">
      <c r="B44" s="296" t="s">
        <v>48</v>
      </c>
      <c r="C44" s="446"/>
      <c r="D44" s="447"/>
    </row>
    <row r="45" spans="2:5" x14ac:dyDescent="0.35">
      <c r="B45" s="301" t="s">
        <v>49</v>
      </c>
      <c r="C45" s="446">
        <f>+'1.BG USD'!C44*INDICE!M2</f>
        <v>341707504.78200001</v>
      </c>
      <c r="D45" s="447">
        <v>375485408</v>
      </c>
    </row>
    <row r="46" spans="2:5" x14ac:dyDescent="0.35">
      <c r="B46" s="304" t="s">
        <v>184</v>
      </c>
      <c r="C46" s="446">
        <f>+'1.BG USD'!C45*INDICE!M3-84</f>
        <v>324437258.63849998</v>
      </c>
      <c r="D46" s="447">
        <v>94209000</v>
      </c>
    </row>
    <row r="47" spans="2:5" x14ac:dyDescent="0.35">
      <c r="B47" s="296" t="s">
        <v>50</v>
      </c>
      <c r="C47" s="448">
        <f>SUM(C45:C46)</f>
        <v>666144763.42050004</v>
      </c>
      <c r="D47" s="449">
        <f>SUM(D45:D46)</f>
        <v>469694408</v>
      </c>
      <c r="E47" s="351"/>
    </row>
    <row r="48" spans="2:5" x14ac:dyDescent="0.35">
      <c r="B48" s="296" t="str">
        <f>+'1.BG USD'!B48</f>
        <v>PLAN FONDO DE INVERSION IN GANADERO U$S</v>
      </c>
      <c r="C48" s="466">
        <f>+'[5]BALANCE GENERAL'!$H$98</f>
        <v>41588820000</v>
      </c>
      <c r="D48" s="467">
        <v>19697964000</v>
      </c>
    </row>
    <row r="49" spans="2:4" x14ac:dyDescent="0.35">
      <c r="B49" s="296" t="str">
        <f>+'1.BG USD'!B49</f>
        <v>RESULTADOS</v>
      </c>
      <c r="C49" s="452">
        <f>+C50+C51</f>
        <v>2019567744</v>
      </c>
      <c r="D49" s="453">
        <f>+D50+D51</f>
        <v>672841498.83000004</v>
      </c>
    </row>
    <row r="50" spans="2:4" x14ac:dyDescent="0.35">
      <c r="B50" s="304" t="s">
        <v>164</v>
      </c>
      <c r="C50" s="457">
        <v>0</v>
      </c>
      <c r="D50" s="453">
        <v>0</v>
      </c>
    </row>
    <row r="51" spans="2:4" x14ac:dyDescent="0.35">
      <c r="B51" s="304" t="s">
        <v>218</v>
      </c>
      <c r="C51" s="457">
        <f>+'[5]BALANCE GENERAL'!$H$103</f>
        <v>2019567744</v>
      </c>
      <c r="D51" s="453">
        <v>672841498.83000004</v>
      </c>
    </row>
    <row r="52" spans="2:4" x14ac:dyDescent="0.35">
      <c r="B52" s="296" t="s">
        <v>51</v>
      </c>
      <c r="C52" s="468">
        <f>SUM(C48:C49)</f>
        <v>43608387744</v>
      </c>
      <c r="D52" s="469">
        <f>SUM(D48:D49)</f>
        <v>20370805498.830002</v>
      </c>
    </row>
    <row r="53" spans="2:4" ht="16.2" thickBot="1" x14ac:dyDescent="0.4">
      <c r="B53" s="296" t="s">
        <v>52</v>
      </c>
      <c r="C53" s="462">
        <f>+C47+C52</f>
        <v>44274532507.420502</v>
      </c>
      <c r="D53" s="463">
        <f>+D47+D52</f>
        <v>20840499906.830002</v>
      </c>
    </row>
    <row r="54" spans="2:4" ht="16.8" thickTop="1" thickBot="1" x14ac:dyDescent="0.4">
      <c r="B54" s="470"/>
      <c r="C54" s="619">
        <f>+C53-C41</f>
        <v>0.35150146484375</v>
      </c>
      <c r="D54" s="471"/>
    </row>
    <row r="55" spans="2:4" x14ac:dyDescent="0.35">
      <c r="C55" s="472">
        <f>+C53-C41</f>
        <v>0.35150146484375</v>
      </c>
      <c r="D55" s="472">
        <f>+D53-D41</f>
        <v>-0.1699981689453125</v>
      </c>
    </row>
    <row r="56" spans="2:4" x14ac:dyDescent="0.35">
      <c r="B56" s="280" t="s">
        <v>159</v>
      </c>
      <c r="C56" s="473"/>
      <c r="D56" s="474"/>
    </row>
    <row r="57" spans="2:4" x14ac:dyDescent="0.35">
      <c r="B57" s="367"/>
    </row>
    <row r="58" spans="2:4" x14ac:dyDescent="0.35">
      <c r="B58" s="333"/>
    </row>
    <row r="66" ht="21" customHeight="1" x14ac:dyDescent="0.35"/>
  </sheetData>
  <mergeCells count="4">
    <mergeCell ref="B3:D3"/>
    <mergeCell ref="B5:D5"/>
    <mergeCell ref="B2:D2"/>
    <mergeCell ref="B4:D4"/>
  </mergeCells>
  <pageMargins left="0.25" right="0.25"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43"/>
  <sheetViews>
    <sheetView showGridLines="0" topLeftCell="A23" workbookViewId="0">
      <selection activeCell="A32" sqref="A32"/>
    </sheetView>
  </sheetViews>
  <sheetFormatPr baseColWidth="10" defaultColWidth="9.109375" defaultRowHeight="15.6" x14ac:dyDescent="0.35"/>
  <cols>
    <col min="1" max="1" width="11.44140625" style="262" customWidth="1"/>
    <col min="2" max="2" width="64.33203125" style="262" customWidth="1"/>
    <col min="3" max="3" width="16.33203125" style="497" bestFit="1" customWidth="1"/>
    <col min="4" max="4" width="22.109375" style="497" customWidth="1"/>
    <col min="5" max="5" width="16.44140625" style="262" customWidth="1"/>
    <col min="6" max="6" width="17.5546875" style="262" bestFit="1" customWidth="1"/>
    <col min="7" max="7" width="13.6640625" style="262" bestFit="1" customWidth="1"/>
    <col min="8" max="16384" width="9.109375" style="262"/>
  </cols>
  <sheetData>
    <row r="1" spans="2:12" x14ac:dyDescent="0.35">
      <c r="B1" s="284"/>
      <c r="C1" s="475"/>
      <c r="D1" s="476"/>
      <c r="E1" s="284"/>
      <c r="F1" s="284"/>
    </row>
    <row r="2" spans="2:12" ht="26.4" x14ac:dyDescent="0.6">
      <c r="B2" s="675" t="s">
        <v>168</v>
      </c>
      <c r="C2" s="675"/>
      <c r="D2" s="675"/>
      <c r="E2" s="441"/>
      <c r="F2" s="371"/>
    </row>
    <row r="3" spans="2:12" ht="26.4" x14ac:dyDescent="0.6">
      <c r="B3" s="678" t="s">
        <v>203</v>
      </c>
      <c r="C3" s="678"/>
      <c r="D3" s="678"/>
      <c r="E3" s="477"/>
      <c r="F3" s="478"/>
    </row>
    <row r="4" spans="2:12" x14ac:dyDescent="0.35">
      <c r="B4" s="670" t="s">
        <v>348</v>
      </c>
      <c r="C4" s="670"/>
      <c r="D4" s="670"/>
      <c r="E4" s="280"/>
      <c r="F4" s="478"/>
    </row>
    <row r="5" spans="2:12" x14ac:dyDescent="0.35">
      <c r="B5" s="685" t="s">
        <v>58</v>
      </c>
      <c r="C5" s="685"/>
      <c r="D5" s="685"/>
      <c r="G5" s="263"/>
      <c r="H5" s="263"/>
      <c r="I5" s="263"/>
      <c r="J5" s="263"/>
      <c r="K5" s="263"/>
      <c r="L5" s="263"/>
    </row>
    <row r="6" spans="2:12" x14ac:dyDescent="0.35">
      <c r="B6" s="333"/>
      <c r="C6" s="479">
        <v>6908.25</v>
      </c>
      <c r="D6" s="333"/>
      <c r="E6" s="263"/>
      <c r="G6" s="263"/>
      <c r="H6" s="263"/>
      <c r="I6" s="263"/>
      <c r="J6" s="263"/>
      <c r="K6" s="263"/>
      <c r="L6" s="263"/>
    </row>
    <row r="7" spans="2:12" x14ac:dyDescent="0.35">
      <c r="B7" s="480"/>
      <c r="C7" s="481">
        <f>+INDICE!P3</f>
        <v>2022</v>
      </c>
      <c r="D7" s="482">
        <f>+INDICE!P2</f>
        <v>2021</v>
      </c>
      <c r="E7" s="263"/>
      <c r="G7" s="483"/>
      <c r="H7" s="483"/>
      <c r="I7" s="263"/>
      <c r="J7" s="263"/>
      <c r="K7" s="263"/>
      <c r="L7" s="263"/>
    </row>
    <row r="8" spans="2:12" x14ac:dyDescent="0.35">
      <c r="B8" s="417" t="s">
        <v>25</v>
      </c>
      <c r="C8" s="484"/>
      <c r="D8" s="485"/>
      <c r="E8" s="263"/>
      <c r="G8" s="483"/>
      <c r="H8" s="263"/>
      <c r="I8" s="263"/>
      <c r="J8" s="263"/>
      <c r="K8" s="263"/>
      <c r="L8" s="263"/>
    </row>
    <row r="9" spans="2:12" x14ac:dyDescent="0.35">
      <c r="B9" s="417"/>
      <c r="C9" s="484"/>
      <c r="D9" s="485"/>
      <c r="E9" s="263"/>
      <c r="G9" s="372"/>
      <c r="H9" s="370"/>
      <c r="I9" s="370"/>
      <c r="J9" s="263"/>
      <c r="K9" s="263"/>
      <c r="L9" s="263"/>
    </row>
    <row r="10" spans="2:12" x14ac:dyDescent="0.35">
      <c r="B10" s="417" t="s">
        <v>26</v>
      </c>
      <c r="C10" s="484"/>
      <c r="D10" s="485"/>
      <c r="E10" s="263"/>
      <c r="G10" s="370"/>
      <c r="H10" s="370"/>
      <c r="I10" s="370"/>
      <c r="J10" s="263"/>
      <c r="K10" s="263"/>
      <c r="L10" s="263"/>
    </row>
    <row r="11" spans="2:12" x14ac:dyDescent="0.35">
      <c r="B11" s="413" t="str">
        <f>+'2.EERR USD'!B12</f>
        <v xml:space="preserve">Intereses </v>
      </c>
      <c r="C11" s="484">
        <f>+'2.EERR USD'!C12*$C$6</f>
        <v>409084527.6825</v>
      </c>
      <c r="D11" s="485">
        <f>6375.54*'2.EERR USD'!D12</f>
        <v>0</v>
      </c>
      <c r="E11" s="263"/>
      <c r="G11" s="486"/>
      <c r="H11" s="486"/>
      <c r="I11" s="370"/>
      <c r="J11" s="263"/>
      <c r="K11" s="263"/>
      <c r="L11" s="263"/>
    </row>
    <row r="12" spans="2:12" x14ac:dyDescent="0.35">
      <c r="B12" s="413" t="str">
        <f>+'2.EERR USD'!B13</f>
        <v xml:space="preserve">Otros </v>
      </c>
      <c r="C12" s="484">
        <f>+'2.EERR USD'!C13*C6</f>
        <v>1187182.7625</v>
      </c>
      <c r="D12" s="485">
        <f>6375.54*'2.EERR USD'!D13</f>
        <v>0</v>
      </c>
      <c r="E12" s="263"/>
      <c r="G12" s="370"/>
      <c r="H12" s="370"/>
      <c r="I12" s="370"/>
      <c r="J12" s="263"/>
      <c r="K12" s="263"/>
      <c r="L12" s="263"/>
    </row>
    <row r="13" spans="2:12" x14ac:dyDescent="0.35">
      <c r="B13" s="413" t="str">
        <f>+'2.EERR USD'!B14</f>
        <v>Valuación de Ganado</v>
      </c>
      <c r="C13" s="484">
        <f>+'2.EERR USD'!C14*$C$6</f>
        <v>4227937287.4350004</v>
      </c>
      <c r="D13" s="485"/>
      <c r="E13" s="263"/>
      <c r="G13" s="370"/>
      <c r="H13" s="370"/>
      <c r="I13" s="370"/>
      <c r="J13" s="263"/>
      <c r="K13" s="263"/>
      <c r="L13" s="263"/>
    </row>
    <row r="14" spans="2:12" x14ac:dyDescent="0.35">
      <c r="B14" s="413" t="s">
        <v>351</v>
      </c>
      <c r="C14" s="484">
        <f>+'[5]ESTADOS DE RESULTADOS'!$C$21</f>
        <v>91617872</v>
      </c>
      <c r="D14" s="485"/>
      <c r="E14" s="263"/>
      <c r="G14" s="370"/>
      <c r="H14" s="370"/>
      <c r="I14" s="370"/>
      <c r="J14" s="263"/>
      <c r="K14" s="263"/>
      <c r="L14" s="263"/>
    </row>
    <row r="15" spans="2:12" x14ac:dyDescent="0.35">
      <c r="B15" s="417" t="s">
        <v>29</v>
      </c>
      <c r="C15" s="481">
        <f>SUM(C10:C14)</f>
        <v>4729826869.8800001</v>
      </c>
      <c r="D15" s="482">
        <f>SUM(D10:D12)</f>
        <v>0</v>
      </c>
      <c r="E15" s="263"/>
      <c r="G15" s="370"/>
      <c r="I15" s="370"/>
      <c r="J15" s="263"/>
      <c r="K15" s="263"/>
      <c r="L15" s="263"/>
    </row>
    <row r="16" spans="2:12" ht="21.75" customHeight="1" x14ac:dyDescent="0.35">
      <c r="B16" s="417" t="s">
        <v>30</v>
      </c>
      <c r="C16" s="484"/>
      <c r="D16" s="485"/>
      <c r="E16" s="263"/>
      <c r="G16" s="370"/>
      <c r="I16" s="370"/>
      <c r="J16" s="263"/>
      <c r="K16" s="263"/>
      <c r="L16" s="263"/>
    </row>
    <row r="17" spans="2:12" x14ac:dyDescent="0.35">
      <c r="B17" s="487" t="s">
        <v>31</v>
      </c>
      <c r="C17" s="484">
        <f>+'2.EERR USD'!C17*$C$6</f>
        <v>1523737089.855</v>
      </c>
      <c r="D17" s="485">
        <f>6375.54*'2.EERR USD'!D17</f>
        <v>0</v>
      </c>
      <c r="E17" s="263"/>
      <c r="F17" s="351"/>
      <c r="G17" s="263"/>
      <c r="H17" s="263"/>
      <c r="I17" s="263"/>
      <c r="J17" s="263"/>
      <c r="K17" s="263"/>
      <c r="L17" s="263"/>
    </row>
    <row r="18" spans="2:12" hidden="1" x14ac:dyDescent="0.35">
      <c r="B18" s="488" t="s">
        <v>32</v>
      </c>
      <c r="C18" s="484">
        <f>+'2.EERR USD'!C18*$C$6</f>
        <v>0</v>
      </c>
      <c r="D18" s="485"/>
      <c r="E18" s="263"/>
      <c r="G18" s="263"/>
      <c r="H18" s="263"/>
      <c r="I18" s="263"/>
      <c r="J18" s="263"/>
      <c r="K18" s="263"/>
      <c r="L18" s="263"/>
    </row>
    <row r="19" spans="2:12" x14ac:dyDescent="0.35">
      <c r="B19" s="487" t="s">
        <v>33</v>
      </c>
      <c r="C19" s="484">
        <f>+'2.EERR USD'!C19*$C$6</f>
        <v>1582472.8274999999</v>
      </c>
      <c r="D19" s="485">
        <f>6375.54*'2.EERR USD'!D19</f>
        <v>0</v>
      </c>
      <c r="E19" s="263"/>
      <c r="G19" s="263"/>
      <c r="H19" s="263"/>
      <c r="I19" s="263"/>
      <c r="J19" s="263"/>
      <c r="K19" s="263"/>
      <c r="L19" s="263"/>
    </row>
    <row r="20" spans="2:12" x14ac:dyDescent="0.35">
      <c r="B20" s="413" t="s">
        <v>34</v>
      </c>
      <c r="C20" s="484">
        <f>+'2.EERR USD'!C20*C6</f>
        <v>601781042.54250002</v>
      </c>
      <c r="D20" s="485">
        <f>6375.54*'2.EERR USD'!D20</f>
        <v>0</v>
      </c>
      <c r="E20" s="263"/>
      <c r="G20" s="358"/>
      <c r="H20" s="263"/>
      <c r="I20" s="263"/>
      <c r="J20" s="263"/>
      <c r="K20" s="263"/>
      <c r="L20" s="263"/>
    </row>
    <row r="21" spans="2:12" x14ac:dyDescent="0.35">
      <c r="B21" s="413" t="str">
        <f>+'2.EERR USD'!B21</f>
        <v>Costo de Trasformacion de Activo Biologico</v>
      </c>
      <c r="C21" s="484">
        <f>+'2.EERR USD'!C21*$C$6</f>
        <v>421400417.61749995</v>
      </c>
      <c r="D21" s="485"/>
      <c r="E21" s="263"/>
      <c r="G21" s="358"/>
      <c r="H21" s="263"/>
      <c r="I21" s="263"/>
      <c r="J21" s="263"/>
      <c r="K21" s="263"/>
      <c r="L21" s="263"/>
    </row>
    <row r="22" spans="2:12" x14ac:dyDescent="0.35">
      <c r="B22" s="413" t="s">
        <v>350</v>
      </c>
      <c r="C22" s="484">
        <f>+'[5]ESTADOS DE RESULTADOS'!$C$51+6961</f>
        <v>161758103</v>
      </c>
      <c r="D22" s="485"/>
      <c r="E22" s="263"/>
      <c r="G22" s="358"/>
      <c r="H22" s="263"/>
      <c r="I22" s="263"/>
      <c r="J22" s="263"/>
      <c r="K22" s="263"/>
      <c r="L22" s="263"/>
    </row>
    <row r="23" spans="2:12" x14ac:dyDescent="0.35">
      <c r="B23" s="489" t="s">
        <v>35</v>
      </c>
      <c r="C23" s="481">
        <f>SUM(C17:C22)</f>
        <v>2710259125.8425002</v>
      </c>
      <c r="D23" s="482">
        <f>SUM(D17:D20)</f>
        <v>0</v>
      </c>
      <c r="E23" s="263"/>
      <c r="G23" s="263"/>
      <c r="H23" s="263"/>
      <c r="I23" s="263"/>
      <c r="J23" s="263"/>
      <c r="K23" s="263"/>
      <c r="L23" s="263"/>
    </row>
    <row r="24" spans="2:12" ht="16.2" thickBot="1" x14ac:dyDescent="0.4">
      <c r="B24" s="489" t="s">
        <v>36</v>
      </c>
      <c r="C24" s="490">
        <f>+C15-C23</f>
        <v>2019567744.0374999</v>
      </c>
      <c r="D24" s="491">
        <f>+D15-D23</f>
        <v>0</v>
      </c>
      <c r="E24" s="263"/>
      <c r="G24" s="492"/>
      <c r="H24" s="263"/>
      <c r="I24" s="263"/>
      <c r="J24" s="263"/>
      <c r="K24" s="263"/>
      <c r="L24" s="263"/>
    </row>
    <row r="25" spans="2:12" ht="16.2" thickTop="1" x14ac:dyDescent="0.35">
      <c r="B25" s="493"/>
      <c r="C25" s="494"/>
      <c r="D25" s="495"/>
      <c r="E25" s="263"/>
      <c r="G25" s="263"/>
      <c r="H25" s="263"/>
      <c r="I25" s="263"/>
      <c r="J25" s="263"/>
      <c r="K25" s="263"/>
      <c r="L25" s="263"/>
    </row>
    <row r="26" spans="2:12" x14ac:dyDescent="0.35">
      <c r="B26" s="496"/>
      <c r="C26" s="628">
        <f>+C24-'5.BG G'!C51</f>
        <v>3.7499904632568359E-2</v>
      </c>
      <c r="D26" s="484"/>
      <c r="E26" s="263"/>
      <c r="G26" s="263"/>
      <c r="H26" s="263"/>
      <c r="I26" s="263"/>
      <c r="J26" s="263"/>
      <c r="K26" s="263"/>
      <c r="L26" s="263"/>
    </row>
    <row r="27" spans="2:12" x14ac:dyDescent="0.35">
      <c r="B27" s="280" t="s">
        <v>159</v>
      </c>
      <c r="E27" s="263"/>
      <c r="G27" s="263"/>
      <c r="H27" s="263"/>
      <c r="I27" s="263"/>
      <c r="J27" s="263"/>
      <c r="K27" s="263"/>
      <c r="L27" s="263"/>
    </row>
    <row r="28" spans="2:12" x14ac:dyDescent="0.35">
      <c r="B28" s="498"/>
      <c r="C28" s="499"/>
      <c r="D28" s="499"/>
      <c r="E28" s="263"/>
      <c r="G28" s="263"/>
      <c r="H28" s="263"/>
      <c r="I28" s="492"/>
      <c r="J28" s="263"/>
      <c r="K28" s="263"/>
      <c r="L28" s="263"/>
    </row>
    <row r="29" spans="2:12" x14ac:dyDescent="0.35">
      <c r="E29" s="263"/>
      <c r="G29" s="263"/>
      <c r="H29" s="263"/>
      <c r="I29" s="263"/>
      <c r="J29" s="263"/>
      <c r="K29" s="263"/>
      <c r="L29" s="263"/>
    </row>
    <row r="30" spans="2:12" x14ac:dyDescent="0.35">
      <c r="E30" s="263"/>
      <c r="G30" s="263"/>
      <c r="H30" s="263"/>
      <c r="I30" s="492"/>
      <c r="J30" s="263"/>
      <c r="K30" s="263"/>
      <c r="L30" s="263"/>
    </row>
    <row r="31" spans="2:12" x14ac:dyDescent="0.35">
      <c r="B31" s="367"/>
      <c r="E31" s="263"/>
      <c r="G31" s="263"/>
      <c r="H31" s="263"/>
      <c r="I31" s="263"/>
      <c r="J31" s="263"/>
      <c r="K31" s="263"/>
      <c r="L31" s="263"/>
    </row>
    <row r="32" spans="2:12" x14ac:dyDescent="0.35">
      <c r="B32" s="333"/>
      <c r="E32" s="263"/>
    </row>
    <row r="33" spans="2:5" x14ac:dyDescent="0.35">
      <c r="B33" s="367"/>
      <c r="C33" s="499"/>
      <c r="D33" s="499"/>
      <c r="E33" s="263"/>
    </row>
    <row r="34" spans="2:5" x14ac:dyDescent="0.35">
      <c r="B34" s="367"/>
      <c r="E34" s="263"/>
    </row>
    <row r="35" spans="2:5" x14ac:dyDescent="0.35">
      <c r="B35" s="288"/>
      <c r="E35" s="263"/>
    </row>
    <row r="36" spans="2:5" x14ac:dyDescent="0.35">
      <c r="B36" s="367"/>
      <c r="E36" s="263"/>
    </row>
    <row r="37" spans="2:5" x14ac:dyDescent="0.35">
      <c r="B37" s="288"/>
      <c r="E37" s="263"/>
    </row>
    <row r="38" spans="2:5" x14ac:dyDescent="0.35">
      <c r="B38" s="367"/>
      <c r="C38" s="499"/>
      <c r="D38" s="499"/>
      <c r="E38" s="263"/>
    </row>
    <row r="39" spans="2:5" x14ac:dyDescent="0.35">
      <c r="B39" s="288"/>
      <c r="E39" s="263"/>
    </row>
    <row r="40" spans="2:5" x14ac:dyDescent="0.35">
      <c r="B40" s="367"/>
      <c r="E40" s="263"/>
    </row>
    <row r="41" spans="2:5" x14ac:dyDescent="0.35">
      <c r="B41" s="367"/>
      <c r="E41" s="263"/>
    </row>
    <row r="42" spans="2:5" x14ac:dyDescent="0.35">
      <c r="B42" s="367"/>
      <c r="E42" s="263"/>
    </row>
    <row r="43" spans="2:5" x14ac:dyDescent="0.35">
      <c r="B43" s="367"/>
      <c r="C43" s="499"/>
      <c r="D43" s="499"/>
      <c r="E43" s="263"/>
    </row>
  </sheetData>
  <mergeCells count="4">
    <mergeCell ref="B3:D3"/>
    <mergeCell ref="B5:D5"/>
    <mergeCell ref="B4:D4"/>
    <mergeCell ref="B2:D2"/>
  </mergeCells>
  <pageMargins left="0.25" right="0.25" top="0.75" bottom="0.75" header="0.3" footer="0.3"/>
  <pageSetup paperSize="9" scale="75" orientation="portrait" r:id="rId1"/>
  <ignoredErrors>
    <ignoredError sqref="D23 D11:D13 D15:D2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8"/>
  <sheetViews>
    <sheetView showGridLines="0" topLeftCell="A7" workbookViewId="0">
      <selection activeCell="A32" sqref="A32"/>
    </sheetView>
  </sheetViews>
  <sheetFormatPr baseColWidth="10" defaultColWidth="9.109375" defaultRowHeight="15.6" x14ac:dyDescent="0.35"/>
  <cols>
    <col min="1" max="1" width="5.6640625" style="262" customWidth="1"/>
    <col min="2" max="2" width="40.44140625" style="262" customWidth="1"/>
    <col min="3" max="3" width="20.6640625" style="262" customWidth="1"/>
    <col min="4" max="4" width="21.33203125" style="262" customWidth="1"/>
    <col min="5" max="5" width="24.44140625" style="262" customWidth="1"/>
    <col min="6" max="6" width="13.6640625" style="262" customWidth="1"/>
    <col min="7" max="7" width="12.44140625" style="262" customWidth="1"/>
    <col min="8" max="8" width="11.44140625" style="262" bestFit="1" customWidth="1"/>
    <col min="9" max="9" width="13.33203125" style="262" customWidth="1"/>
    <col min="10" max="11" width="12.44140625" style="262" customWidth="1"/>
    <col min="12" max="16384" width="9.109375" style="262"/>
  </cols>
  <sheetData>
    <row r="1" spans="1:11" x14ac:dyDescent="0.35">
      <c r="A1" s="369"/>
      <c r="B1" s="370"/>
      <c r="C1" s="370"/>
      <c r="D1" s="370"/>
    </row>
    <row r="2" spans="1:11" x14ac:dyDescent="0.35">
      <c r="A2" s="370"/>
      <c r="B2" s="685" t="s">
        <v>168</v>
      </c>
      <c r="C2" s="685"/>
      <c r="D2" s="685"/>
      <c r="E2" s="685"/>
      <c r="F2" s="371"/>
      <c r="G2" s="370"/>
      <c r="H2" s="370"/>
      <c r="I2" s="370"/>
      <c r="J2" s="370"/>
      <c r="K2" s="370"/>
    </row>
    <row r="3" spans="1:11" x14ac:dyDescent="0.35">
      <c r="A3" s="369"/>
      <c r="B3" s="686" t="s">
        <v>16</v>
      </c>
      <c r="C3" s="686"/>
      <c r="D3" s="686"/>
      <c r="E3" s="686"/>
      <c r="F3" s="370"/>
      <c r="G3" s="370"/>
      <c r="H3" s="370"/>
      <c r="I3" s="373"/>
      <c r="J3" s="373"/>
      <c r="K3" s="373"/>
    </row>
    <row r="4" spans="1:11" x14ac:dyDescent="0.35">
      <c r="A4" s="369"/>
      <c r="B4" s="670" t="s">
        <v>348</v>
      </c>
      <c r="C4" s="670"/>
      <c r="D4" s="670"/>
      <c r="E4" s="670"/>
      <c r="F4" s="370"/>
      <c r="G4" s="370"/>
      <c r="H4" s="370"/>
      <c r="I4" s="373"/>
      <c r="J4" s="373"/>
      <c r="K4" s="373"/>
    </row>
    <row r="5" spans="1:11" x14ac:dyDescent="0.35">
      <c r="A5" s="373"/>
      <c r="B5" s="687" t="s">
        <v>58</v>
      </c>
      <c r="C5" s="687"/>
      <c r="D5" s="687"/>
      <c r="E5" s="687"/>
      <c r="I5" s="373"/>
      <c r="J5" s="373"/>
      <c r="K5" s="373"/>
    </row>
    <row r="6" spans="1:11" x14ac:dyDescent="0.35">
      <c r="A6" s="373"/>
      <c r="B6" s="500"/>
      <c r="C6" s="500"/>
      <c r="D6" s="500"/>
      <c r="E6" s="500"/>
      <c r="I6" s="373"/>
      <c r="J6" s="373"/>
      <c r="K6" s="373"/>
    </row>
    <row r="7" spans="1:11" ht="31.2" x14ac:dyDescent="0.35">
      <c r="A7" s="373"/>
      <c r="B7" s="376" t="s">
        <v>17</v>
      </c>
      <c r="C7" s="376" t="s">
        <v>18</v>
      </c>
      <c r="D7" s="376" t="s">
        <v>19</v>
      </c>
      <c r="E7" s="376" t="s">
        <v>349</v>
      </c>
      <c r="F7" s="373"/>
      <c r="G7" s="373"/>
      <c r="H7" s="373"/>
      <c r="I7" s="289"/>
      <c r="J7" s="289"/>
      <c r="K7" s="373"/>
    </row>
    <row r="8" spans="1:11" ht="23.25" customHeight="1" x14ac:dyDescent="0.35">
      <c r="A8" s="373"/>
      <c r="B8" s="501" t="s">
        <v>20</v>
      </c>
      <c r="C8" s="502">
        <f>+'5.BG G'!D48</f>
        <v>19697964000</v>
      </c>
      <c r="D8" s="502">
        <f>+'5.BG G'!D49</f>
        <v>672841498.83000004</v>
      </c>
      <c r="E8" s="503">
        <f>+C8+D8</f>
        <v>20370805498.830002</v>
      </c>
      <c r="F8" s="373"/>
      <c r="G8" s="373"/>
      <c r="H8" s="373"/>
      <c r="I8" s="504"/>
      <c r="J8" s="373"/>
      <c r="K8" s="382"/>
    </row>
    <row r="9" spans="1:11" x14ac:dyDescent="0.35">
      <c r="B9" s="505"/>
      <c r="C9" s="506"/>
      <c r="D9" s="506"/>
      <c r="E9" s="507"/>
      <c r="I9" s="351"/>
    </row>
    <row r="10" spans="1:11" x14ac:dyDescent="0.35">
      <c r="A10" s="280"/>
      <c r="B10" s="383" t="s">
        <v>21</v>
      </c>
      <c r="C10" s="508"/>
      <c r="D10" s="508"/>
      <c r="E10" s="507"/>
      <c r="F10" s="387"/>
      <c r="G10" s="387"/>
      <c r="H10" s="387"/>
      <c r="I10" s="387"/>
      <c r="J10" s="387"/>
      <c r="K10" s="387"/>
    </row>
    <row r="11" spans="1:11" x14ac:dyDescent="0.35">
      <c r="A11" s="280"/>
      <c r="B11" s="389" t="s">
        <v>152</v>
      </c>
      <c r="C11" s="509">
        <f>+C16-C8</f>
        <v>21890856000</v>
      </c>
      <c r="D11" s="507">
        <v>0</v>
      </c>
      <c r="E11" s="507">
        <v>0</v>
      </c>
      <c r="F11" s="387"/>
      <c r="G11" s="387"/>
      <c r="H11" s="387"/>
      <c r="I11" s="387"/>
      <c r="J11" s="387"/>
      <c r="K11" s="387"/>
    </row>
    <row r="12" spans="1:11" x14ac:dyDescent="0.35">
      <c r="A12" s="382"/>
      <c r="B12" s="510" t="s">
        <v>22</v>
      </c>
      <c r="C12" s="509">
        <v>0</v>
      </c>
      <c r="D12" s="507">
        <v>0</v>
      </c>
      <c r="E12" s="507">
        <f t="shared" ref="E12" si="0">+C12+D12</f>
        <v>0</v>
      </c>
      <c r="F12" s="391"/>
      <c r="G12" s="382"/>
      <c r="H12" s="382"/>
      <c r="I12" s="391"/>
      <c r="J12" s="393"/>
      <c r="K12" s="393"/>
    </row>
    <row r="13" spans="1:11" x14ac:dyDescent="0.35">
      <c r="A13" s="382"/>
      <c r="B13" s="510" t="s">
        <v>162</v>
      </c>
      <c r="C13" s="509">
        <v>0</v>
      </c>
      <c r="D13" s="511">
        <f>+'3.VARIAC. PA USD'!D13*6895.8</f>
        <v>0</v>
      </c>
      <c r="E13" s="511">
        <f>+C13+D13</f>
        <v>0</v>
      </c>
      <c r="F13" s="391"/>
      <c r="G13" s="382"/>
      <c r="H13" s="382"/>
      <c r="I13" s="391"/>
      <c r="J13" s="393"/>
      <c r="K13" s="393"/>
    </row>
    <row r="14" spans="1:11" x14ac:dyDescent="0.35">
      <c r="A14" s="382"/>
      <c r="B14" s="510" t="s">
        <v>165</v>
      </c>
      <c r="C14" s="509">
        <v>0</v>
      </c>
      <c r="D14" s="511">
        <f>+'3.VARIAC. PA USD'!D14*6895.8</f>
        <v>0</v>
      </c>
      <c r="E14" s="511"/>
      <c r="F14" s="391"/>
      <c r="G14" s="382"/>
      <c r="H14" s="382"/>
      <c r="I14" s="391"/>
      <c r="J14" s="393"/>
      <c r="K14" s="393"/>
    </row>
    <row r="15" spans="1:11" x14ac:dyDescent="0.35">
      <c r="A15" s="280"/>
      <c r="B15" s="512" t="s">
        <v>23</v>
      </c>
      <c r="C15" s="513">
        <v>0</v>
      </c>
      <c r="D15" s="514">
        <f>+D16-D8</f>
        <v>1346726245.1700001</v>
      </c>
      <c r="E15" s="511">
        <v>0</v>
      </c>
      <c r="F15" s="280"/>
      <c r="G15" s="280"/>
      <c r="H15" s="438"/>
      <c r="I15" s="280"/>
      <c r="J15" s="280"/>
      <c r="K15" s="280"/>
    </row>
    <row r="16" spans="1:11" ht="58.5" customHeight="1" x14ac:dyDescent="0.35">
      <c r="A16" s="280"/>
      <c r="B16" s="397" t="s">
        <v>24</v>
      </c>
      <c r="C16" s="515">
        <f>+'5.BG G'!C48</f>
        <v>41588820000</v>
      </c>
      <c r="D16" s="515">
        <f>+'5.BG G'!C49</f>
        <v>2019567744</v>
      </c>
      <c r="E16" s="516" t="s">
        <v>347</v>
      </c>
      <c r="F16" s="399"/>
      <c r="G16" s="399"/>
      <c r="H16" s="399"/>
      <c r="I16" s="399"/>
      <c r="J16" s="399"/>
      <c r="K16" s="399"/>
    </row>
    <row r="17" spans="1:13" ht="21" customHeight="1" thickBot="1" x14ac:dyDescent="0.4">
      <c r="A17" s="280"/>
      <c r="B17" s="399"/>
      <c r="C17" s="403"/>
      <c r="D17" s="403"/>
      <c r="E17" s="517">
        <f>+C16+D16</f>
        <v>43608387744</v>
      </c>
      <c r="F17" s="399"/>
      <c r="G17" s="399"/>
      <c r="H17" s="399"/>
      <c r="I17" s="399"/>
      <c r="J17" s="399"/>
      <c r="K17" s="399"/>
      <c r="M17" s="351"/>
    </row>
    <row r="18" spans="1:13" ht="16.2" thickTop="1" x14ac:dyDescent="0.35">
      <c r="A18" s="402"/>
      <c r="B18" s="399"/>
      <c r="C18" s="399"/>
      <c r="D18" s="399"/>
      <c r="E18" s="399"/>
      <c r="F18" s="399"/>
      <c r="G18" s="399"/>
      <c r="H18" s="399"/>
      <c r="I18" s="399"/>
      <c r="J18" s="399"/>
      <c r="K18" s="399"/>
      <c r="M18" s="351"/>
    </row>
    <row r="19" spans="1:13" x14ac:dyDescent="0.35">
      <c r="A19" s="280"/>
      <c r="B19" s="280" t="s">
        <v>159</v>
      </c>
      <c r="C19" s="399"/>
      <c r="D19" s="399"/>
      <c r="E19" s="403"/>
      <c r="F19" s="399"/>
      <c r="G19" s="399"/>
      <c r="H19" s="399"/>
      <c r="I19" s="399"/>
      <c r="J19" s="399"/>
      <c r="K19" s="399"/>
    </row>
    <row r="20" spans="1:13" x14ac:dyDescent="0.35">
      <c r="A20" s="280"/>
      <c r="B20" s="333"/>
      <c r="C20" s="399"/>
      <c r="D20" s="399"/>
      <c r="E20" s="399"/>
      <c r="F20" s="399"/>
      <c r="G20" s="399"/>
      <c r="H20" s="399"/>
      <c r="I20" s="399"/>
      <c r="J20" s="399"/>
      <c r="K20" s="399"/>
    </row>
    <row r="21" spans="1:13" x14ac:dyDescent="0.35">
      <c r="A21" s="280"/>
      <c r="B21" s="370"/>
      <c r="C21" s="399"/>
      <c r="D21" s="399"/>
      <c r="E21" s="399"/>
      <c r="F21" s="399"/>
      <c r="G21" s="399"/>
      <c r="H21" s="399"/>
      <c r="I21" s="399"/>
      <c r="J21" s="399"/>
      <c r="K21" s="399"/>
    </row>
    <row r="22" spans="1:13" x14ac:dyDescent="0.35">
      <c r="A22" s="280"/>
      <c r="B22" s="333"/>
      <c r="C22" s="399"/>
      <c r="D22" s="399"/>
      <c r="E22" s="399"/>
      <c r="F22" s="399"/>
      <c r="G22" s="399"/>
      <c r="H22" s="399"/>
      <c r="I22" s="399"/>
      <c r="J22" s="399"/>
      <c r="K22" s="399"/>
    </row>
    <row r="23" spans="1:13" x14ac:dyDescent="0.35">
      <c r="A23" s="280"/>
      <c r="B23" s="370"/>
      <c r="C23" s="399"/>
      <c r="D23" s="399"/>
      <c r="E23" s="399"/>
      <c r="F23" s="399"/>
      <c r="G23" s="399"/>
      <c r="H23" s="399"/>
      <c r="I23" s="399"/>
      <c r="J23" s="399"/>
      <c r="K23" s="399"/>
    </row>
    <row r="24" spans="1:13" x14ac:dyDescent="0.35">
      <c r="A24" s="280"/>
      <c r="B24" s="399"/>
      <c r="C24" s="399"/>
      <c r="D24" s="399"/>
      <c r="E24" s="399"/>
      <c r="F24" s="399"/>
      <c r="G24" s="399"/>
      <c r="H24" s="399"/>
      <c r="I24" s="399"/>
      <c r="J24" s="399"/>
      <c r="K24" s="399"/>
    </row>
    <row r="25" spans="1:13" x14ac:dyDescent="0.35">
      <c r="A25" s="280"/>
      <c r="B25" s="399"/>
      <c r="C25" s="399"/>
      <c r="D25" s="399"/>
      <c r="E25" s="399"/>
      <c r="F25" s="399"/>
      <c r="G25" s="399"/>
      <c r="H25" s="399"/>
      <c r="I25" s="399"/>
      <c r="J25" s="399"/>
      <c r="K25" s="399"/>
    </row>
    <row r="26" spans="1:13" x14ac:dyDescent="0.35">
      <c r="A26" s="280"/>
      <c r="B26" s="399"/>
      <c r="C26" s="399"/>
      <c r="D26" s="399"/>
      <c r="E26" s="399"/>
      <c r="F26" s="399"/>
      <c r="G26" s="399"/>
      <c r="H26" s="399"/>
      <c r="I26" s="399"/>
      <c r="J26" s="399"/>
      <c r="K26" s="399"/>
    </row>
    <row r="27" spans="1:13" x14ac:dyDescent="0.35">
      <c r="A27" s="370"/>
      <c r="B27" s="399"/>
      <c r="C27" s="399"/>
      <c r="D27" s="399"/>
      <c r="E27" s="399"/>
      <c r="F27" s="399"/>
      <c r="G27" s="399"/>
      <c r="H27" s="399"/>
      <c r="I27" s="399"/>
      <c r="J27" s="399"/>
      <c r="K27" s="399"/>
    </row>
    <row r="28" spans="1:13" x14ac:dyDescent="0.35">
      <c r="A28" s="370"/>
      <c r="B28" s="399"/>
      <c r="C28" s="399"/>
      <c r="D28" s="399"/>
      <c r="E28" s="399"/>
      <c r="F28" s="399"/>
      <c r="G28" s="399"/>
      <c r="H28" s="399"/>
      <c r="I28" s="399"/>
      <c r="J28" s="399"/>
      <c r="K28" s="399"/>
    </row>
    <row r="30" spans="1:13" x14ac:dyDescent="0.35">
      <c r="J30" s="351"/>
    </row>
    <row r="31" spans="1:13" x14ac:dyDescent="0.35">
      <c r="G31" s="351"/>
    </row>
    <row r="32" spans="1:13" x14ac:dyDescent="0.35">
      <c r="J32" s="351"/>
    </row>
    <row r="33" spans="2:10" x14ac:dyDescent="0.35">
      <c r="J33" s="351"/>
    </row>
    <row r="34" spans="2:10" x14ac:dyDescent="0.35">
      <c r="J34" s="351"/>
    </row>
    <row r="37" spans="2:10" x14ac:dyDescent="0.35">
      <c r="B37" s="382"/>
      <c r="C37" s="370"/>
      <c r="D37" s="370"/>
      <c r="E37" s="677"/>
      <c r="F37" s="677"/>
      <c r="G37" s="677"/>
      <c r="H37" s="677"/>
    </row>
    <row r="38" spans="2:10" x14ac:dyDescent="0.35">
      <c r="B38" s="382"/>
      <c r="C38" s="370"/>
      <c r="D38" s="370"/>
      <c r="E38" s="677"/>
      <c r="F38" s="677"/>
      <c r="G38" s="677"/>
      <c r="H38" s="677"/>
    </row>
  </sheetData>
  <mergeCells count="6">
    <mergeCell ref="E37:H37"/>
    <mergeCell ref="E38:H38"/>
    <mergeCell ref="B2:E2"/>
    <mergeCell ref="B3:E3"/>
    <mergeCell ref="B5:E5"/>
    <mergeCell ref="B4:E4"/>
  </mergeCells>
  <pageMargins left="0.25" right="0.25" top="0.75" bottom="0.75" header="0.3" footer="0.3"/>
  <pageSetup paperSize="9" scale="65"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tN/KTTKx7xE7pJ6/aF2B3sq6QwnyIO1aUtxxgtT6yPs=</DigestValue>
    </Reference>
    <Reference Type="http://www.w3.org/2000/09/xmldsig#Object" URI="#idOfficeObject">
      <DigestMethod Algorithm="http://www.w3.org/2001/04/xmlenc#sha256"/>
      <DigestValue>5uzXSHhk5jEb9VLkQ8H5MswLPnpNfjHSJ1rRdpmEoGs=</DigestValue>
    </Reference>
    <Reference Type="http://uri.etsi.org/01903#SignedProperties" URI="#idSignedProperties">
      <Transforms>
        <Transform Algorithm="http://www.w3.org/TR/2001/REC-xml-c14n-20010315"/>
      </Transforms>
      <DigestMethod Algorithm="http://www.w3.org/2001/04/xmlenc#sha256"/>
      <DigestValue>bXaB0wExnWvzfYr2CQ64AL+JxZNSwKcFrRm8sMtZc6A=</DigestValue>
    </Reference>
    <Reference Type="http://www.w3.org/2000/09/xmldsig#Object" URI="#idValidSigLnImg">
      <DigestMethod Algorithm="http://www.w3.org/2001/04/xmlenc#sha256"/>
      <DigestValue>Z4hIb9Pw2eaqclenU8xYaZzS/WjJL3FIH7i01ymaqeY=</DigestValue>
    </Reference>
    <Reference Type="http://www.w3.org/2000/09/xmldsig#Object" URI="#idInvalidSigLnImg">
      <DigestMethod Algorithm="http://www.w3.org/2001/04/xmlenc#sha256"/>
      <DigestValue>VneU/SukWJuXiT7wVRc191ML8eY6g7HsewQZkfUZjqw=</DigestValue>
    </Reference>
  </SignedInfo>
  <SignatureValue>ixPr0VgywPOSWI2Rc8dODPunj8BRn2Z/zTHHo8cmwWS7xpc1IPiQzSSYzl7/LuKB0htsFHf5qyLv
65t6sVWx3pNIcXIiDX38fD+CV1PWscZmA9ksQSqepKFx50jbgkd3Le+JkANiNEMJI3uKTpnb3mA2
wGAkJexFXydo8G8lnT5ufAf/DkpYKbu8XN1coCAmU1fENS78qjeLZuj9UxoI+VZa1kHtnt7w2MlF
8MexVfvHu8DSYn2k36EEJDZyq5Y+nc3SEyOEcC5vchtSflgF75TKQC1S0bzJjn+hR9sXFYyc5K7n
LsY1YgSpQSfHJ2+iPBn7LfqokM+s7cFiBzNRIQ==</SignatureValue>
  <KeyInfo>
    <X509Data>
      <X509Certificate>MIIH9DCCBdygAwIBAgIIUtUs/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NE4qktvu+e+Hbx7hYCeyZsjgD47+ZOYpJer4/57Gp95icMpwFI8WDd31Cg7w4Yu2j+oZSEyKvL5tpa2x0RR3FdnsNu9vu5xziRk6BZ48nb701+Hp6inkVOgF6UPl9RDeddz3mgDRflWG4hfZluMaqfs6uMdMQ6F+nez9VXmf2YX72TUzCSxzI9F1QHHhPozMy8bnOnhQkKrssStO5gpSxwrl9OEaCQDYbNd1IK1T66148LmektBBqiDI099RFLUYXTrlcBuSSqWU7dt1mC+V0/c/AFU8O6jW1fLapXzx2VR5pY2BQIDAQABo4IDhTCCA4EwDAYDVR0TAQH/BAIwADAOBgNVHQ8BAf8EBAMCBeAwKgYDVR0lAQH/BCAwHgYIKwYBBQUHAwEGCCsGAQUFBwMCBggrBgEFBQcDBDAdBgNVHQ4EFgQUVPthvMLN92wA+cWG7NWsBfWynqM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nNhZHkucGVyZWlyYUBpbnBvc2l0aXZ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xJkT/FfdwugysWEhSs3ePJmJ3RqsSsGbJCLay1uwUDLXTwNFrO23Qtu3+Huc61jrzZkxqdMzzPToBw2QeoxeTsywerWvbIM04MDczr+OPSe5o5VvyQ+kSS3+FY47ecHIMhYkCn8+zUjcT8lJ701cGSH6PcjjKPOs2yqTCADtS19YauiQeUVcoS0YipSBztVteeXYzu0IVMwsWOHmkwDEtKwuDo07XwSUAnaNRK2qpgLfhU+M8kSsUhcwZ3oMdr2gK/qHMhdDqwzzqHbxCXj2+3m7cpMpeauftQp98qAORlqQixSTgw9hnQ36ItxjVg1cvmImDj8q7qsz5PKzG4INCRYb8eJk9XCVAQi24EeaviLr7imIf5NyRO7as7rWT/Jxle/iaeJgdrUj7eoSZAgjxJoOKwPI34jr07NRUoYBgnXNBOb5YpSTY3UGh1CLIrw2vG6t9YYimneJfJdjuoymv56BrmfYMgKGj59aQ5lSVQSJVsfznkSj7fMVCs8dvdpjfGOS18DQOxDQlZNE8aWPIs21ysE0+YnudfXvIG/yDRGDgPLJspyxPqfi2DnfVBAQ5EJ5jC7Fx79DzQiWPeH915B5vpoX4IfxIcEJqQMWMhk+Qs/el5Qwx7D1AgpsBWAvPjPZ7CyJmK2llI47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kWgoApw1cxAP7j93BYCFtBQCE9iCgngMg9Z/QdEZelU=</DigestValue>
      </Reference>
      <Reference URI="/xl/calcChain.xml?ContentType=application/vnd.openxmlformats-officedocument.spreadsheetml.calcChain+xml">
        <DigestMethod Algorithm="http://www.w3.org/2001/04/xmlenc#sha256"/>
        <DigestValue>uFY7wQLke7M1zzIK+2bfbo7MpK/O8/PuSi98CDS4rF8=</DigestValue>
      </Reference>
      <Reference URI="/xl/comments1.xml?ContentType=application/vnd.openxmlformats-officedocument.spreadsheetml.comments+xml">
        <DigestMethod Algorithm="http://www.w3.org/2001/04/xmlenc#sha256"/>
        <DigestValue>C7edDS1WM2idlnBexEEntYTIZ/Ebe7MbZgtc7TTvlM4=</DigestValue>
      </Reference>
      <Reference URI="/xl/comments2.xml?ContentType=application/vnd.openxmlformats-officedocument.spreadsheetml.comments+xml">
        <DigestMethod Algorithm="http://www.w3.org/2001/04/xmlenc#sha256"/>
        <DigestValue>5k5xUZZ8Ea/DC6ODEq+6bcN9uKqWh4KCybNA5g7iVG4=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xjawFzGC2DUvnbrMwBnu71d8EF55aB1+RA1JIfEst7Y=</DigestValue>
      </Reference>
      <Reference URI="/xl/drawings/vmlDrawing1.vml?ContentType=application/vnd.openxmlformats-officedocument.vmlDrawing">
        <DigestMethod Algorithm="http://www.w3.org/2001/04/xmlenc#sha256"/>
        <DigestValue>V/giDiuDLQsWbtYoVw2RZ0jeVgO9NrbvwdyV4VSKuuY=</DigestValue>
      </Reference>
      <Reference URI="/xl/drawings/vmlDrawing2.vml?ContentType=application/vnd.openxmlformats-officedocument.vmlDrawing">
        <DigestMethod Algorithm="http://www.w3.org/2001/04/xmlenc#sha256"/>
        <DigestValue>vjEHUMDo4eHTd0uVvnC5z2mwih3LCD/4eTmYlawFMqo=</DigestValue>
      </Reference>
      <Reference URI="/xl/drawings/vmlDrawing3.vml?ContentType=application/vnd.openxmlformats-officedocument.vmlDrawing">
        <DigestMethod Algorithm="http://www.w3.org/2001/04/xmlenc#sha256"/>
        <DigestValue>mRkPwbq3iWyT1JGTN1DI7JpGHShzDuPPiOINvcShCMs=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Jy7ocQrK2tsB6LqRMLsg0VXGQF2YE9MwzIU03LUiLvc=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KPvaf7CfFw9mOuwWSoBv6EJksvUsMaXwFB/cerx1YSM=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YRU8LCVQM+JgByCwVc98Q5CQDwp+l3Q/ByBYMeVVciQ=</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W6SpxOLZ8amKgYOTG1V6iK0k+c8Tx+dd+EI7BCw1cCA=</DigestValue>
      </Reference>
      <Reference URI="/xl/externalLinks/externalLink1.xml?ContentType=application/vnd.openxmlformats-officedocument.spreadsheetml.externalLink+xml">
        <DigestMethod Algorithm="http://www.w3.org/2001/04/xmlenc#sha256"/>
        <DigestValue>RgO1yifePhy3d+AoQWc6SHC5NXe7Vk29kt8fBgX5OJw=</DigestValue>
      </Reference>
      <Reference URI="/xl/externalLinks/externalLink2.xml?ContentType=application/vnd.openxmlformats-officedocument.spreadsheetml.externalLink+xml">
        <DigestMethod Algorithm="http://www.w3.org/2001/04/xmlenc#sha256"/>
        <DigestValue>QB+V+nxw7ZAblYt3S/Ch75wG1at6SMVaGhbTRnBHUD0=</DigestValue>
      </Reference>
      <Reference URI="/xl/externalLinks/externalLink3.xml?ContentType=application/vnd.openxmlformats-officedocument.spreadsheetml.externalLink+xml">
        <DigestMethod Algorithm="http://www.w3.org/2001/04/xmlenc#sha256"/>
        <DigestValue>QB+V+nxw7ZAblYt3S/Ch75wG1at6SMVaGhbTRnBHUD0=</DigestValue>
      </Reference>
      <Reference URI="/xl/externalLinks/externalLink4.xml?ContentType=application/vnd.openxmlformats-officedocument.spreadsheetml.externalLink+xml">
        <DigestMethod Algorithm="http://www.w3.org/2001/04/xmlenc#sha256"/>
        <DigestValue>ClXLdInWniPsDsgs1MVBFziSacQxWzFFepQV8aVDhK8=</DigestValue>
      </Reference>
      <Reference URI="/xl/externalLinks/externalLink5.xml?ContentType=application/vnd.openxmlformats-officedocument.spreadsheetml.externalLink+xml">
        <DigestMethod Algorithm="http://www.w3.org/2001/04/xmlenc#sha256"/>
        <DigestValue>4Cyn3AiAcilUZHSLqXc9AKuoklCgwrRdvWUryGZjD+c=</DigestValue>
      </Reference>
      <Reference URI="/xl/externalLinks/externalLink6.xml?ContentType=application/vnd.openxmlformats-officedocument.spreadsheetml.externalLink+xml">
        <DigestMethod Algorithm="http://www.w3.org/2001/04/xmlenc#sha256"/>
        <DigestValue>1XOOZ9z9wAgYqwwFqL59N8yE9dJb63GrQV6KGdlLkRg=</DigestValue>
      </Reference>
      <Reference URI="/xl/media/image1.png?ContentType=image/png">
        <DigestMethod Algorithm="http://www.w3.org/2001/04/xmlenc#sha256"/>
        <DigestValue>mScAtSz83q7fKRcNENcfBwQWZ8rYyaZoM3sMc4MXAak=</DigestValue>
      </Reference>
      <Reference URI="/xl/media/image2.emf?ContentType=image/x-emf">
        <DigestMethod Algorithm="http://www.w3.org/2001/04/xmlenc#sha256"/>
        <DigestValue>4EPMyWcSWTtYsW8NcjunFgG4upCFnSUs0pZMwsH1vxY=</DigestValue>
      </Reference>
      <Reference URI="/xl/media/image3.emf?ContentType=image/x-emf">
        <DigestMethod Algorithm="http://www.w3.org/2001/04/xmlenc#sha256"/>
        <DigestValue>gD3e0NJOLiV/fmM1nr+U4Dve6/mSWEN70gT+EC5PdYk=</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10.bin?ContentType=application/vnd.openxmlformats-officedocument.spreadsheetml.printerSettings">
        <DigestMethod Algorithm="http://www.w3.org/2001/04/xmlenc#sha256"/>
        <DigestValue>7FK+7ND2wkX5JRID7I5pGN2xS08AkOKCreOpDVpwU38=</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DhLX4rjnwdbQPweXYyD7kdwa3XMRHLSS9YTCJAaRbUc=</DigestValue>
      </Reference>
      <Reference URI="/xl/printerSettings/printerSettings13.bin?ContentType=application/vnd.openxmlformats-officedocument.spreadsheetml.printerSettings">
        <DigestMethod Algorithm="http://www.w3.org/2001/04/xmlenc#sha256"/>
        <DigestValue>DhLX4rjnwdbQPweXYyD7kdwa3XMRHLSS9YTCJAaRbUc=</DigestValue>
      </Reference>
      <Reference URI="/xl/printerSettings/printerSettings14.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sLlVsMu/UmxdwdvPNZF0AY0+lC5fiUlO4f1F+aMCq5U=</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UY02NxGOCsMKIdiP0l87TBjv4wdZHYgdx1e22uMvj3s=</DigestValue>
      </Reference>
      <Reference URI="/xl/styles.xml?ContentType=application/vnd.openxmlformats-officedocument.spreadsheetml.styles+xml">
        <DigestMethod Algorithm="http://www.w3.org/2001/04/xmlenc#sha256"/>
        <DigestValue>UbW/VJQTxFvvV3iqYac84vbkbIM+RNFo+8/wOFM1HG0=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yqIy1Mwc9h2TPVI6aTABaIILy5DU6L5EDOvCi9DQyyM=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nSs+hUDNPaLOTnYoFvMucNNdm/jSbslacidXyB6tM/0=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EVXMmtbrK05YSYRgw5FgQD3Dc1yMJuinCK6QQtulNOM=</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e7w4/9rgNqyIgSNjj4WlMYxxUPJRrlWGwpRNlUgPAIQ=</DigestValue>
      </Reference>
      <Reference URI="/xl/worksheets/sheet10.xml?ContentType=application/vnd.openxmlformats-officedocument.spreadsheetml.worksheet+xml">
        <DigestMethod Algorithm="http://www.w3.org/2001/04/xmlenc#sha256"/>
        <DigestValue>cVXia1wrF7IpEP4sBhWrnylqhqoesMkxRcjA8PxGlxs=</DigestValue>
      </Reference>
      <Reference URI="/xl/worksheets/sheet11.xml?ContentType=application/vnd.openxmlformats-officedocument.spreadsheetml.worksheet+xml">
        <DigestMethod Algorithm="http://www.w3.org/2001/04/xmlenc#sha256"/>
        <DigestValue>yf1MdP8S8xz7RUtapGAvX8lrH36Xw3syvw/gsg8l3Zo=</DigestValue>
      </Reference>
      <Reference URI="/xl/worksheets/sheet12.xml?ContentType=application/vnd.openxmlformats-officedocument.spreadsheetml.worksheet+xml">
        <DigestMethod Algorithm="http://www.w3.org/2001/04/xmlenc#sha256"/>
        <DigestValue>z27wrmZSnETGR/GVT4w0R+qbKwexikQNIXiHOdnwVtI=</DigestValue>
      </Reference>
      <Reference URI="/xl/worksheets/sheet13.xml?ContentType=application/vnd.openxmlformats-officedocument.spreadsheetml.worksheet+xml">
        <DigestMethod Algorithm="http://www.w3.org/2001/04/xmlenc#sha256"/>
        <DigestValue>Z+sl0OCYd4F5VWx27vzHAENUxhHhw4EehrwnxIbxytM=</DigestValue>
      </Reference>
      <Reference URI="/xl/worksheets/sheet14.xml?ContentType=application/vnd.openxmlformats-officedocument.spreadsheetml.worksheet+xml">
        <DigestMethod Algorithm="http://www.w3.org/2001/04/xmlenc#sha256"/>
        <DigestValue>mF/qSMncFyo25F1j6/Ao5M78whU77KwpvC6KUCBCg0U=</DigestValue>
      </Reference>
      <Reference URI="/xl/worksheets/sheet2.xml?ContentType=application/vnd.openxmlformats-officedocument.spreadsheetml.worksheet+xml">
        <DigestMethod Algorithm="http://www.w3.org/2001/04/xmlenc#sha256"/>
        <DigestValue>CJ95nA/OqPFe189PcoEvJb6E0KIHA3sh2PLI5AE8Ops=</DigestValue>
      </Reference>
      <Reference URI="/xl/worksheets/sheet3.xml?ContentType=application/vnd.openxmlformats-officedocument.spreadsheetml.worksheet+xml">
        <DigestMethod Algorithm="http://www.w3.org/2001/04/xmlenc#sha256"/>
        <DigestValue>0ARY2GevYv2aDqg9eEmUOV+TeSDiZNtFYPJf7+13l90=</DigestValue>
      </Reference>
      <Reference URI="/xl/worksheets/sheet4.xml?ContentType=application/vnd.openxmlformats-officedocument.spreadsheetml.worksheet+xml">
        <DigestMethod Algorithm="http://www.w3.org/2001/04/xmlenc#sha256"/>
        <DigestValue>QYyqlffmZPMLcNhHD+ZadxJbqjLsBZcaN+sHV7lmLts=</DigestValue>
      </Reference>
      <Reference URI="/xl/worksheets/sheet5.xml?ContentType=application/vnd.openxmlformats-officedocument.spreadsheetml.worksheet+xml">
        <DigestMethod Algorithm="http://www.w3.org/2001/04/xmlenc#sha256"/>
        <DigestValue>j+K3y7c7zy2klEBPjL5gXpQ6pkVXBfj2ZDXB+7GLCkY=</DigestValue>
      </Reference>
      <Reference URI="/xl/worksheets/sheet6.xml?ContentType=application/vnd.openxmlformats-officedocument.spreadsheetml.worksheet+xml">
        <DigestMethod Algorithm="http://www.w3.org/2001/04/xmlenc#sha256"/>
        <DigestValue>vfd0ToePiLGwRn/Ns0kxqgQuJevPgmU1ZA8vcelvoY4=</DigestValue>
      </Reference>
      <Reference URI="/xl/worksheets/sheet7.xml?ContentType=application/vnd.openxmlformats-officedocument.spreadsheetml.worksheet+xml">
        <DigestMethod Algorithm="http://www.w3.org/2001/04/xmlenc#sha256"/>
        <DigestValue>w6o7SQvZE1AuMljsXXUx4fNuvAbOAGfhcRjD/70qdo0=</DigestValue>
      </Reference>
      <Reference URI="/xl/worksheets/sheet8.xml?ContentType=application/vnd.openxmlformats-officedocument.spreadsheetml.worksheet+xml">
        <DigestMethod Algorithm="http://www.w3.org/2001/04/xmlenc#sha256"/>
        <DigestValue>0jAIcFlvh75AqK6G+uIwXAFrSQ/PT3zZmCyU3aYqp2o=</DigestValue>
      </Reference>
      <Reference URI="/xl/worksheets/sheet9.xml?ContentType=application/vnd.openxmlformats-officedocument.spreadsheetml.worksheet+xml">
        <DigestMethod Algorithm="http://www.w3.org/2001/04/xmlenc#sha256"/>
        <DigestValue>Wll62hOOsUT0akS+xtcXyybdG29a96MfCnUTO4lzWy0=</DigestValue>
      </Reference>
    </Manifest>
    <SignatureProperties>
      <SignatureProperty Id="idSignatureTime" Target="#idPackageSignature">
        <mdssi:SignatureTime xmlns:mdssi="http://schemas.openxmlformats.org/package/2006/digital-signature">
          <mdssi:Format>YYYY-MM-DDThh:mm:ssTZD</mdssi:Format>
          <mdssi:Value>2022-08-01T20:54:40Z</mdssi:Value>
        </mdssi:SignatureTime>
      </SignatureProperty>
    </SignatureProperties>
  </Object>
  <Object Id="idOfficeObject">
    <SignatureProperties>
      <SignatureProperty Id="idOfficeV1Details" Target="#idPackageSignature">
        <SignatureInfoV1 xmlns="http://schemas.microsoft.com/office/2006/digsig">
          <SetupID>{BEE95137-5DD2-4FB8-8538-4E0DE4D69258}</SetupID>
          <SignatureText>SSP</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2022-08-01T20:54:40Z</xd:SigningTime>
          <xd:SigningCertificate>
            <xd:Cert>
              <xd:CertDigest>
                <DigestMethod Algorithm="http://www.w3.org/2001/04/xmlenc#sha256"/>
                <DigestValue>RR82xaApwsdPRi5aWWFB1dGt18jdore6L+DwQwFIPoU=</DigestValue>
              </xd:CertDigest>
              <xd:IssuerSerial>
                <X509IssuerName>C=PY, O=DOCUMENTA S.A., CN=CA-DOCUMENTA S.A., SERIALNUMBER=RUC 80050172-1</X509IssuerName>
                <X509SerialNumber>5968726355129023616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G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CAAAAAAAAAAoObw/n8AAACg5vD+fwAA3NjJ8P5/AAAAAAg6/38AAHGGO/D+fwAAMBYIOv9/AADc2Mnw/n8AANgWAAAAAAAAQAAAwP5/AAAAAAg6/38AAEGJO/D+fwAABAAAAAAAAAAwFgg6/38AAHCyLxTgAAAA3NjJ8AAAAABIAAAAAAAAANzYyfD+fwAAoKPm8P5/AAAA3cnw/n8AAAEAAAAAAAAAgALK8P5/AAAAAAg6/38AAAAAAAAAAAAAAAAAAAAAAAAUJQHt/n8AADBc1IYlAgAAC6fkN/9/AABQsy8U4AAAAOmzLxTgAAAAAAAAAAAAAAAAAAAAZHYACAAAAAAlAAAADAAAAAEAAAAYAAAADAAAAAAAAAASAAAADAAAAAEAAAAeAAAAGAAAAPwAAAAFAAAAMgEAABYAAAAlAAAADAAAAAEAAABUAAAAfAAAAP0AAAAFAAAAMAEAABUAAAABAAAAVVWPQYX2jkH9AAAABQAAAAgAAABMAAAAAAAAAAAAAAAAAAAA//////////9cAAAAMQAvADgALwAyADAAMgAyAAcAAAAFAAAABwAAAAUAAAAHAAAABwAAAAcAAAAHAAAASwAAAEAAAAAwAAAABQAAACAAAAABAAAAAQAAABAAAAAAAAAAAAAAAEABAACgAAAAAAAAAAAAAABAAQAAoAAAAFIAAABwAQAAAgAAABQAAAAJAAAAAAAAAAAAAAC8AgAAAAAAAAECAiJTAHkAcwB0AGUAbQAAAAAAAAAAAAAAAAAAAAAAAAAAAAAAAAAAAAAAAAAAAAAAAAAAAAAAAAAAAAAAAAAAAAAAAAAAALAF7PclAgAAAAAAAAAAAAABAAAAJQIAAIgOCDj/fwAAAAAAAAAAAACAPwg6/38AAAkAAAABAAAACQAAAAAAAAAAAAAAAAAAAAAAAAAAAAAAQVM9cdV2AAARAAAAAAAAAJDFoYYlAgAA8IREhyUCAAAwXNSGJQIAAFDTLxQAAAAAAAAAAAAAAAAHAAAAAAAAAAAAAAAAAAAAjNIvFOAAAADJ0i8U4AAAANG34Df/fwAAAAAAAAAAAAAwS54dAAAAAJDFoYYlAgAAAAAAAAAAAAAwXNSGJQIAAAun5Df/fwAAMNIvFOAAAADJ0i8U4AAAAEDs1pIlAg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A4IOP9/AAAAAAAAAAAAAOlrLhTgAAAAAwAAAAAAAADHszM6/38AAAAAAAAAAAAAAAAAAAAAAADB9jxx1XYAAAAAAAD+fwAAAAAAAP5/AADg////AAAAADBc1IYlAgAA6G0uFAAAAAAAAAAAAAAAAAYAAAAAAAAAAAAAAAAAAAAMbS4U4AAAAEltLhTgAAAA0bfgN/9/AAAAAAAA/n8AAIgz0/kAAAAAB581jSwjAADovwLt/n8AADBc1IYlAgAAC6fkN/9/AACwbC4U4AAAAEltLhTgAAAAgAnXkiUCAAAAAAAAZHYACAAAAAAlAAAADAAAAAMAAAAYAAAADAAAAAAAAAASAAAADAAAAAEAAAAWAAAADAAAAAgAAABUAAAAVAAAAAwAAAA3AAAAIAAAAFoAAAABAAAAVVWPQYX2jkEMAAAAWwAAAAEAAABMAAAABAAAAAsAAAA3AAAAIgAAAFsAAABQAAAAWAAqpR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BSAAAAVgAAADAAAAA7AAAAIwAAABwAAAAhAPAAAAAAAAAAAAAAAIA/AAAAAAAAAAAAAIA/AAAAAAAAAAAAAAAAAAAAAAAAAAAAAAAAAAAAAAAAAAAlAAAADAAAAAAAAIAoAAAADAAAAAQAAABSAAAAcAEAAAQAAADs////AAAAAAAAAAAAAAAAkAEAAAAAAAEAAAAAcwBlAGcAbwBlACAAdQBpAAAAAAAAAAAAAAAAAAAAAAAAAAAAAAAAAAAAAAAAAAAAAAAAAAAAAAAAAAAAAAAAAAAA//8ACAAAAAAAAAAAAAAAAAAA4NgLhyUCAACIDgg4/38AAAAAAAAAAAAASNGCkiUCAADgf/2SJQIAAFbkAu3+fwAAAAAAAAAAAAAAAAAAAAAAAHH2PHHVdgAAeWwuFOAAAACwtozt/n8AAOz///8AAAAAMFzUhiUCAAB4bi4UAAAAAAAAAAAAAAAACQAAAAAAAAAAAAAAAAAAAJxtLhTgAAAA2W0uFOAAAADRt+A3/38AALC2jO3+fwAAsLaM7QAA//8AAQEA/////wgAAAD+fwAAMFzUhiUCAAALp+Q3/38AAEBtLhTgAAAA2W0uFOAAAADgDAmPJQIAAAAAAABkdgAIAAAAACUAAAAMAAAABAAAABgAAAAMAAAAAAAAABIAAAAMAAAAAQAAAB4AAAAYAAAAMAAAADsAAABTAAAAVwAAACUAAAAMAAAABAAAAFQAAABgAAAAMQAAADsAAABRAAAAVgAAAAEAAABVVY9BhfaOQTEAAAA7AAAAAwAAAEwAAAAAAAAAAAAAAAAAAAD//////////1QAAABTAFMAUAA5TAsAAAALAAAACw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3AAAABMAGkAYwAuACAAUwBhAGQAeQAgAFAAZQByAGUAaQByAGEA97kGAAAAAwAAAAYAAAADAAAABAAA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Object Id="idInvalidSigLnImg">AQAAAGwAAAAAAAAAAAAAAD8BAACfAAAAAAAAAAAAAABmFgAALAsAACBFTUYAAAEAkCA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oObw/n8AAACg5vD+fwAA3NjJ8P5/AAAAAAg6/38AAHGGO/D+fwAAMBYIOv9/AADc2Mnw/n8AANgWAAAAAAAAQAAAwP5/AAAAAAg6/38AAEGJO/D+fwAABAAAAAAAAAAwFgg6/38AAHCyLxTgAAAA3NjJ8AAAAABIAAAAAAAAANzYyfD+fwAAoKPm8P5/AAAA3cnw/n8AAAEAAAAAAAAAgALK8P5/AAAAAAg6/38AAAAAAAAAAAAAAAAAAAAAAAAUJQHt/n8AADBc1IYlAgAAC6fkN/9/AABQsy8U4AAAAOmzLxTgAAAAAAAAAAAAAAAAAAAA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sAXs9yUCAAAAAAAAAAAAAAEAAAAlAgAAiA4IOP9/AAAAAAAAAAAAAIA/CDr/fwAACQAAAAEAAAAJAAAAAAAAAAAAAAAAAAAAAAAAAAAAAABBUz1x1XYAABEAAAAAAAAAkMWhhiUCAADwhESHJQIAADBc1IYlAgAAUNMvFAAAAAAAAAAAAAAAAAcAAAAAAAAAAAAAAAAAAACM0i8U4AAAAMnSLxTgAAAA0bfgN/9/AAAAAAAAAAAAADBLnh0AAAAAkMWhhiUCAAAAAAAAAAAAADBc1IYlAgAAC6fkN/9/AAAw0i8U4AAAAMnSLxTgAAAAQOzWkiU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Dgg4/38AAAAAAAAAAAAA6WsuFOAAAAADAAAAAAAAAMezMzr/fwAAAAAAAAAAAAAAAAAAAAAAAMH2PHHVdgAAAAAAAP5/AAAAAAAA/n8AAOD///8AAAAAMFzUhiUCAADobS4UAAAAAAAAAAAAAAAABgAAAAAAAAAAAAAAAAAAAAxtLhTgAAAASW0uFOAAAADRt+A3/38AAAAAAAD+fwAAiDPT+QAAAAAHnzWNLCMAAOi/Au3+fwAAMFzUhiUCAAALp+Q3/38AALBsLhTgAAAASW0uFOAAAACACdeSJQI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FIAAABWAAAAMAAAADsAAAAjAAAAHAAAACEA8AAAAAAAAAAAAAAAgD8AAAAAAAAAAAAAgD8AAAAAAAAAAAAAAAAAAAAAAAAAAAAAAAAAAAAAAAAAACUAAAAMAAAAAAAAgCgAAAAMAAAABAAAAFIAAABwAQAABAAAAOz///8AAAAAAAAAAAAAAACQAQAAAAAAAQAAAABzAGUAZwBvAGUAIAB1AGkAAAAAAAAAAAAAAAAAAAAAAAAAAAAAAAAAAAAAAAAAAAAAAAAAAAAAAAAAAAAAAAAAAAD//wAIAAAAAAAAAAAAAAAAAADg2AuHJQIAAIgOCDj/fwAAAAAAAAAAAABI0YKSJQIAAOB//ZIlAgAAVuQC7f5/AAAAAAAAAAAAAAAAAAAAAAAAcfY8cdV2AAB5bC4U4AAAALC2jO3+fwAA7P///wAAAAAwXNSGJQIAAHhuLhQAAAAAAAAAAAAAAAAJAAAAAAAAAAAAAAAAAAAAnG0uFOAAAADZbS4U4AAAANG34Df/fwAAsLaM7f5/AACwtoztAAD//wABAQD/////CAAAAP5/AAAwXNSGJQIAAAun5Df/fwAAQG0uFOAAAADZbS4U4AAAAOAMCY8lAgAAAAAAAGR2AAgAAAAAJQAAAAwAAAAEAAAAGAAAAAwAAAAAAAAAEgAAAAwAAAABAAAAHgAAABgAAAAwAAAAOwAAAFMAAABXAAAAJQAAAAwAAAAEAAAAVAAAAGAAAAAxAAAAOwAAAFEAAABWAAAAAQAAAFVVj0GF9o5BMQAAADsAAAADAAAATAAAAAAAAAAAAAAAAAAAAP//////////VAAAAFMAUwBQAAAACwAAAAs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cAAAAEwAaQBjAC4AIABTAGEAZAB5ACAAUABlAHIAZQBpAHIAYQApUAYAAAADAAAABgAAAAMAAAAEAAAABwAAAAcAAAAIAAAABgAAAAQAAAAHAAAABwAAAAUAAAAHAAAAAwAAAAU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fAAAAA8AAAB2AAAARQAAAIYAAAABAAAAVVWPQYX2jkEPAAAAdgAAAAgAAABMAAAAAAAAAAAAAAAAAAAA//////////9cAAAAQwBvAG4AdABhAGQAbwByAAgAAAAIAAAABwAAAAQAAAAHAAAACAAAAAgAAAAFAAAASwAAAEAAAAAwAAAABQAAACAAAAABAAAAAQAAABAAAAAAAAAAAAAAAEABAACgAAAAAAAAAAAAAABAAQAAoAAAACUAAAAMAAAAAgAAACcAAAAYAAAABQAAAAAAAAD///8AAAAAACUAAAAMAAAABQAAAEwAAABkAAAADgAAAIsAAADVAAAAmwAAAA4AAACLAAAAyAAAABEAAAAhAPAAAAAAAAAAAAAAAIA/AAAAAAAAAAAAAIA/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itw4HA1gaMa3ZS0+rlL0Jch5tZQa9yPXBgYgcD6Pu28=</DigestValue>
    </Reference>
    <Reference Type="http://www.w3.org/2000/09/xmldsig#Object" URI="#idOfficeObject">
      <DigestMethod Algorithm="http://www.w3.org/2001/04/xmlenc#sha256"/>
      <DigestValue>1yD7cHnGm+idMlfsMzrt0EztpCthlnxXfFK1aTBa+8s=</DigestValue>
    </Reference>
    <Reference Type="http://uri.etsi.org/01903#SignedProperties" URI="#idSignedProperties">
      <Transforms>
        <Transform Algorithm="http://www.w3.org/TR/2001/REC-xml-c14n-20010315"/>
      </Transforms>
      <DigestMethod Algorithm="http://www.w3.org/2001/04/xmlenc#sha256"/>
      <DigestValue>6x/faTqJHFWwGaTRv6zqK/VB/dYYuEYhm/Vp8W7504U=</DigestValue>
    </Reference>
    <Reference Type="http://www.w3.org/2000/09/xmldsig#Object" URI="#idValidSigLnImg">
      <DigestMethod Algorithm="http://www.w3.org/2001/04/xmlenc#sha256"/>
      <DigestValue>r1YON6oKD/F3eEAsN3HVjDSqz0/ja1+EUUKMlxdWGQI=</DigestValue>
    </Reference>
    <Reference Type="http://www.w3.org/2000/09/xmldsig#Object" URI="#idInvalidSigLnImg">
      <DigestMethod Algorithm="http://www.w3.org/2001/04/xmlenc#sha256"/>
      <DigestValue>yYwM+sBAhbfBq5k8Ylr4283fbnRLK1+lAq5gwxLMBbI=</DigestValue>
    </Reference>
  </SignedInfo>
  <SignatureValue>ZzFjJOD6uyAuV9Hp9FynT5UH7HeF2KLbDRtsqNAvcz/OZv3hw9mztezx7P1XyT1JVX1fv51cQszC
L67jUwNkEVrCjLehTy38m1khLINlPJqGI4rssAPkalLi/MMQwed3OhnZSd/0rW/NVyGKdBout+Rz
FqUKPdv88duM8XWTVUSYeQ9aLNjchj2xMI5Ra1VQ6oXnPvu/lEFV3eBfws7L6ajm5gP161iMouxO
IllqXuQBzoOKUktJN8a19qq7BAS32l8IEtfqAfPpVFhOWzkEht0Ca/oAbgtk7i/Kg9KuSQ7G97u+
sfX2m/0ZvjxX7TYeIwa/mjSxJYDSFa7yq1cJrA==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kWgoApw1cxAP7j93BYCFtBQCE9iCgngMg9Z/QdEZelU=</DigestValue>
      </Reference>
      <Reference URI="/xl/calcChain.xml?ContentType=application/vnd.openxmlformats-officedocument.spreadsheetml.calcChain+xml">
        <DigestMethod Algorithm="http://www.w3.org/2001/04/xmlenc#sha256"/>
        <DigestValue>uFY7wQLke7M1zzIK+2bfbo7MpK/O8/PuSi98CDS4rF8=</DigestValue>
      </Reference>
      <Reference URI="/xl/comments1.xml?ContentType=application/vnd.openxmlformats-officedocument.spreadsheetml.comments+xml">
        <DigestMethod Algorithm="http://www.w3.org/2001/04/xmlenc#sha256"/>
        <DigestValue>C7edDS1WM2idlnBexEEntYTIZ/Ebe7MbZgtc7TTvlM4=</DigestValue>
      </Reference>
      <Reference URI="/xl/comments2.xml?ContentType=application/vnd.openxmlformats-officedocument.spreadsheetml.comments+xml">
        <DigestMethod Algorithm="http://www.w3.org/2001/04/xmlenc#sha256"/>
        <DigestValue>5k5xUZZ8Ea/DC6ODEq+6bcN9uKqWh4KCybNA5g7iVG4=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xjawFzGC2DUvnbrMwBnu71d8EF55aB1+RA1JIfEst7Y=</DigestValue>
      </Reference>
      <Reference URI="/xl/drawings/vmlDrawing1.vml?ContentType=application/vnd.openxmlformats-officedocument.vmlDrawing">
        <DigestMethod Algorithm="http://www.w3.org/2001/04/xmlenc#sha256"/>
        <DigestValue>V/giDiuDLQsWbtYoVw2RZ0jeVgO9NrbvwdyV4VSKuuY=</DigestValue>
      </Reference>
      <Reference URI="/xl/drawings/vmlDrawing2.vml?ContentType=application/vnd.openxmlformats-officedocument.vmlDrawing">
        <DigestMethod Algorithm="http://www.w3.org/2001/04/xmlenc#sha256"/>
        <DigestValue>vjEHUMDo4eHTd0uVvnC5z2mwih3LCD/4eTmYlawFMqo=</DigestValue>
      </Reference>
      <Reference URI="/xl/drawings/vmlDrawing3.vml?ContentType=application/vnd.openxmlformats-officedocument.vmlDrawing">
        <DigestMethod Algorithm="http://www.w3.org/2001/04/xmlenc#sha256"/>
        <DigestValue>mRkPwbq3iWyT1JGTN1DI7JpGHShzDuPPiOINvcShCMs=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Jy7ocQrK2tsB6LqRMLsg0VXGQF2YE9MwzIU03LUiLvc=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KPvaf7CfFw9mOuwWSoBv6EJksvUsMaXwFB/cerx1YSM=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YRU8LCVQM+JgByCwVc98Q5CQDwp+l3Q/ByBYMeVVciQ=</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W6SpxOLZ8amKgYOTG1V6iK0k+c8Tx+dd+EI7BCw1cCA=</DigestValue>
      </Reference>
      <Reference URI="/xl/externalLinks/externalLink1.xml?ContentType=application/vnd.openxmlformats-officedocument.spreadsheetml.externalLink+xml">
        <DigestMethod Algorithm="http://www.w3.org/2001/04/xmlenc#sha256"/>
        <DigestValue>RgO1yifePhy3d+AoQWc6SHC5NXe7Vk29kt8fBgX5OJw=</DigestValue>
      </Reference>
      <Reference URI="/xl/externalLinks/externalLink2.xml?ContentType=application/vnd.openxmlformats-officedocument.spreadsheetml.externalLink+xml">
        <DigestMethod Algorithm="http://www.w3.org/2001/04/xmlenc#sha256"/>
        <DigestValue>QB+V+nxw7ZAblYt3S/Ch75wG1at6SMVaGhbTRnBHUD0=</DigestValue>
      </Reference>
      <Reference URI="/xl/externalLinks/externalLink3.xml?ContentType=application/vnd.openxmlformats-officedocument.spreadsheetml.externalLink+xml">
        <DigestMethod Algorithm="http://www.w3.org/2001/04/xmlenc#sha256"/>
        <DigestValue>QB+V+nxw7ZAblYt3S/Ch75wG1at6SMVaGhbTRnBHUD0=</DigestValue>
      </Reference>
      <Reference URI="/xl/externalLinks/externalLink4.xml?ContentType=application/vnd.openxmlformats-officedocument.spreadsheetml.externalLink+xml">
        <DigestMethod Algorithm="http://www.w3.org/2001/04/xmlenc#sha256"/>
        <DigestValue>ClXLdInWniPsDsgs1MVBFziSacQxWzFFepQV8aVDhK8=</DigestValue>
      </Reference>
      <Reference URI="/xl/externalLinks/externalLink5.xml?ContentType=application/vnd.openxmlformats-officedocument.spreadsheetml.externalLink+xml">
        <DigestMethod Algorithm="http://www.w3.org/2001/04/xmlenc#sha256"/>
        <DigestValue>4Cyn3AiAcilUZHSLqXc9AKuoklCgwrRdvWUryGZjD+c=</DigestValue>
      </Reference>
      <Reference URI="/xl/externalLinks/externalLink6.xml?ContentType=application/vnd.openxmlformats-officedocument.spreadsheetml.externalLink+xml">
        <DigestMethod Algorithm="http://www.w3.org/2001/04/xmlenc#sha256"/>
        <DigestValue>1XOOZ9z9wAgYqwwFqL59N8yE9dJb63GrQV6KGdlLkRg=</DigestValue>
      </Reference>
      <Reference URI="/xl/media/image1.png?ContentType=image/png">
        <DigestMethod Algorithm="http://www.w3.org/2001/04/xmlenc#sha256"/>
        <DigestValue>mScAtSz83q7fKRcNENcfBwQWZ8rYyaZoM3sMc4MXAak=</DigestValue>
      </Reference>
      <Reference URI="/xl/media/image2.emf?ContentType=image/x-emf">
        <DigestMethod Algorithm="http://www.w3.org/2001/04/xmlenc#sha256"/>
        <DigestValue>4EPMyWcSWTtYsW8NcjunFgG4upCFnSUs0pZMwsH1vxY=</DigestValue>
      </Reference>
      <Reference URI="/xl/media/image3.emf?ContentType=image/x-emf">
        <DigestMethod Algorithm="http://www.w3.org/2001/04/xmlenc#sha256"/>
        <DigestValue>gD3e0NJOLiV/fmM1nr+U4Dve6/mSWEN70gT+EC5PdYk=</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10.bin?ContentType=application/vnd.openxmlformats-officedocument.spreadsheetml.printerSettings">
        <DigestMethod Algorithm="http://www.w3.org/2001/04/xmlenc#sha256"/>
        <DigestValue>7FK+7ND2wkX5JRID7I5pGN2xS08AkOKCreOpDVpwU38=</DigestValue>
      </Reference>
      <Reference URI="/xl/printerSettings/printerSettings11.bin?ContentType=application/vnd.openxmlformats-officedocument.spreadsheetml.printerSettings">
        <DigestMethod Algorithm="http://www.w3.org/2001/04/xmlenc#sha256"/>
        <DigestValue>DhLX4rjnwdbQPweXYyD7kdwa3XMRHLSS9YTCJAaRbUc=</DigestValue>
      </Reference>
      <Reference URI="/xl/printerSettings/printerSettings12.bin?ContentType=application/vnd.openxmlformats-officedocument.spreadsheetml.printerSettings">
        <DigestMethod Algorithm="http://www.w3.org/2001/04/xmlenc#sha256"/>
        <DigestValue>DhLX4rjnwdbQPweXYyD7kdwa3XMRHLSS9YTCJAaRbUc=</DigestValue>
      </Reference>
      <Reference URI="/xl/printerSettings/printerSettings13.bin?ContentType=application/vnd.openxmlformats-officedocument.spreadsheetml.printerSettings">
        <DigestMethod Algorithm="http://www.w3.org/2001/04/xmlenc#sha256"/>
        <DigestValue>DhLX4rjnwdbQPweXYyD7kdwa3XMRHLSS9YTCJAaRbUc=</DigestValue>
      </Reference>
      <Reference URI="/xl/printerSettings/printerSettings14.bin?ContentType=application/vnd.openxmlformats-officedocument.spreadsheetml.printerSettings">
        <DigestMethod Algorithm="http://www.w3.org/2001/04/xmlenc#sha256"/>
        <DigestValue>FdrMkMhojDKV1MN7NEh+s4YsYgJw60tznXdi8xGJ3nE=</DigestValue>
      </Reference>
      <Reference URI="/xl/printerSettings/printerSettings2.bin?ContentType=application/vnd.openxmlformats-officedocument.spreadsheetml.printerSettings">
        <DigestMethod Algorithm="http://www.w3.org/2001/04/xmlenc#sha256"/>
        <DigestValue>sLlVsMu/UmxdwdvPNZF0AY0+lC5fiUlO4f1F+aMCq5U=</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sLlVsMu/UmxdwdvPNZF0AY0+lC5fiUlO4f1F+aMCq5U=</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UY02NxGOCsMKIdiP0l87TBjv4wdZHYgdx1e22uMvj3s=</DigestValue>
      </Reference>
      <Reference URI="/xl/styles.xml?ContentType=application/vnd.openxmlformats-officedocument.spreadsheetml.styles+xml">
        <DigestMethod Algorithm="http://www.w3.org/2001/04/xmlenc#sha256"/>
        <DigestValue>UbW/VJQTxFvvV3iqYac84vbkbIM+RNFo+8/wOFM1HG0=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yqIy1Mwc9h2TPVI6aTABaIILy5DU6L5EDOvCi9DQyyM=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nSs+hUDNPaLOTnYoFvMucNNdm/jSbslacidXyB6tM/0=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EVXMmtbrK05YSYRgw5FgQD3Dc1yMJuinCK6QQtulNOM=</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e7w4/9rgNqyIgSNjj4WlMYxxUPJRrlWGwpRNlUgPAIQ=</DigestValue>
      </Reference>
      <Reference URI="/xl/worksheets/sheet10.xml?ContentType=application/vnd.openxmlformats-officedocument.spreadsheetml.worksheet+xml">
        <DigestMethod Algorithm="http://www.w3.org/2001/04/xmlenc#sha256"/>
        <DigestValue>cVXia1wrF7IpEP4sBhWrnylqhqoesMkxRcjA8PxGlxs=</DigestValue>
      </Reference>
      <Reference URI="/xl/worksheets/sheet11.xml?ContentType=application/vnd.openxmlformats-officedocument.spreadsheetml.worksheet+xml">
        <DigestMethod Algorithm="http://www.w3.org/2001/04/xmlenc#sha256"/>
        <DigestValue>yf1MdP8S8xz7RUtapGAvX8lrH36Xw3syvw/gsg8l3Zo=</DigestValue>
      </Reference>
      <Reference URI="/xl/worksheets/sheet12.xml?ContentType=application/vnd.openxmlformats-officedocument.spreadsheetml.worksheet+xml">
        <DigestMethod Algorithm="http://www.w3.org/2001/04/xmlenc#sha256"/>
        <DigestValue>z27wrmZSnETGR/GVT4w0R+qbKwexikQNIXiHOdnwVtI=</DigestValue>
      </Reference>
      <Reference URI="/xl/worksheets/sheet13.xml?ContentType=application/vnd.openxmlformats-officedocument.spreadsheetml.worksheet+xml">
        <DigestMethod Algorithm="http://www.w3.org/2001/04/xmlenc#sha256"/>
        <DigestValue>Z+sl0OCYd4F5VWx27vzHAENUxhHhw4EehrwnxIbxytM=</DigestValue>
      </Reference>
      <Reference URI="/xl/worksheets/sheet14.xml?ContentType=application/vnd.openxmlformats-officedocument.spreadsheetml.worksheet+xml">
        <DigestMethod Algorithm="http://www.w3.org/2001/04/xmlenc#sha256"/>
        <DigestValue>mF/qSMncFyo25F1j6/Ao5M78whU77KwpvC6KUCBCg0U=</DigestValue>
      </Reference>
      <Reference URI="/xl/worksheets/sheet2.xml?ContentType=application/vnd.openxmlformats-officedocument.spreadsheetml.worksheet+xml">
        <DigestMethod Algorithm="http://www.w3.org/2001/04/xmlenc#sha256"/>
        <DigestValue>CJ95nA/OqPFe189PcoEvJb6E0KIHA3sh2PLI5AE8Ops=</DigestValue>
      </Reference>
      <Reference URI="/xl/worksheets/sheet3.xml?ContentType=application/vnd.openxmlformats-officedocument.spreadsheetml.worksheet+xml">
        <DigestMethod Algorithm="http://www.w3.org/2001/04/xmlenc#sha256"/>
        <DigestValue>0ARY2GevYv2aDqg9eEmUOV+TeSDiZNtFYPJf7+13l90=</DigestValue>
      </Reference>
      <Reference URI="/xl/worksheets/sheet4.xml?ContentType=application/vnd.openxmlformats-officedocument.spreadsheetml.worksheet+xml">
        <DigestMethod Algorithm="http://www.w3.org/2001/04/xmlenc#sha256"/>
        <DigestValue>QYyqlffmZPMLcNhHD+ZadxJbqjLsBZcaN+sHV7lmLts=</DigestValue>
      </Reference>
      <Reference URI="/xl/worksheets/sheet5.xml?ContentType=application/vnd.openxmlformats-officedocument.spreadsheetml.worksheet+xml">
        <DigestMethod Algorithm="http://www.w3.org/2001/04/xmlenc#sha256"/>
        <DigestValue>j+K3y7c7zy2klEBPjL5gXpQ6pkVXBfj2ZDXB+7GLCkY=</DigestValue>
      </Reference>
      <Reference URI="/xl/worksheets/sheet6.xml?ContentType=application/vnd.openxmlformats-officedocument.spreadsheetml.worksheet+xml">
        <DigestMethod Algorithm="http://www.w3.org/2001/04/xmlenc#sha256"/>
        <DigestValue>vfd0ToePiLGwRn/Ns0kxqgQuJevPgmU1ZA8vcelvoY4=</DigestValue>
      </Reference>
      <Reference URI="/xl/worksheets/sheet7.xml?ContentType=application/vnd.openxmlformats-officedocument.spreadsheetml.worksheet+xml">
        <DigestMethod Algorithm="http://www.w3.org/2001/04/xmlenc#sha256"/>
        <DigestValue>w6o7SQvZE1AuMljsXXUx4fNuvAbOAGfhcRjD/70qdo0=</DigestValue>
      </Reference>
      <Reference URI="/xl/worksheets/sheet8.xml?ContentType=application/vnd.openxmlformats-officedocument.spreadsheetml.worksheet+xml">
        <DigestMethod Algorithm="http://www.w3.org/2001/04/xmlenc#sha256"/>
        <DigestValue>0jAIcFlvh75AqK6G+uIwXAFrSQ/PT3zZmCyU3aYqp2o=</DigestValue>
      </Reference>
      <Reference URI="/xl/worksheets/sheet9.xml?ContentType=application/vnd.openxmlformats-officedocument.spreadsheetml.worksheet+xml">
        <DigestMethod Algorithm="http://www.w3.org/2001/04/xmlenc#sha256"/>
        <DigestValue>Wll62hOOsUT0akS+xtcXyybdG29a96MfCnUTO4lzWy0=</DigestValue>
      </Reference>
    </Manifest>
    <SignatureProperties>
      <SignatureProperty Id="idSignatureTime" Target="#idPackageSignature">
        <mdssi:SignatureTime xmlns:mdssi="http://schemas.openxmlformats.org/package/2006/digital-signature">
          <mdssi:Format>YYYY-MM-DDThh:mm:ssTZD</mdssi:Format>
          <mdssi:Value>2022-08-01T20:59:10Z</mdssi:Value>
        </mdssi:SignatureTime>
      </SignatureProperty>
    </SignatureProperties>
  </Object>
  <Object Id="idOfficeObject">
    <SignatureProperties>
      <SignatureProperty Id="idOfficeV1Details" Target="#idPackageSignature">
        <SignatureInfoV1 xmlns="http://schemas.microsoft.com/office/2006/digsig">
          <SetupID>{6D81DFB0-DD73-4593-B4E1-2220608FB06F}</SetupID>
          <SignatureText>Federico CALLIZO PECCI</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2022-08-01T20:59:10Z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t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Fs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1D915E5D2F9304CBE990991EC851EE6" ma:contentTypeVersion="13" ma:contentTypeDescription="Crear nuevo documento." ma:contentTypeScope="" ma:versionID="93af7221d56dbbb7dae6bf82ccae0061">
  <xsd:schema xmlns:xsd="http://www.w3.org/2001/XMLSchema" xmlns:xs="http://www.w3.org/2001/XMLSchema" xmlns:p="http://schemas.microsoft.com/office/2006/metadata/properties" xmlns:ns3="4086da56-c9b3-4aff-b114-fa4216b20f9f" xmlns:ns4="a9c720a8-2322-4cca-a2f4-4f67aee03419" targetNamespace="http://schemas.microsoft.com/office/2006/metadata/properties" ma:root="true" ma:fieldsID="48d1cfc35aaafb6f3a42d81e0d5a164a" ns3:_="" ns4:_="">
    <xsd:import namespace="4086da56-c9b3-4aff-b114-fa4216b20f9f"/>
    <xsd:import namespace="a9c720a8-2322-4cca-a2f4-4f67aee0341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6da56-c9b3-4aff-b114-fa4216b20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c720a8-2322-4cca-a2f4-4f67aee03419"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685493-620D-40F0-9091-33B8FE0A89D4}">
  <ds:schemaRefs>
    <ds:schemaRef ds:uri="http://schemas.microsoft.com/office/infopath/2007/PartnerControls"/>
    <ds:schemaRef ds:uri="http://schemas.openxmlformats.org/package/2006/metadata/core-properties"/>
    <ds:schemaRef ds:uri="http://www.w3.org/XML/1998/namespace"/>
    <ds:schemaRef ds:uri="http://purl.org/dc/terms/"/>
    <ds:schemaRef ds:uri="a9c720a8-2322-4cca-a2f4-4f67aee03419"/>
    <ds:schemaRef ds:uri="http://schemas.microsoft.com/office/2006/documentManagement/types"/>
    <ds:schemaRef ds:uri="http://purl.org/dc/elements/1.1/"/>
    <ds:schemaRef ds:uri="http://purl.org/dc/dcmitype/"/>
    <ds:schemaRef ds:uri="4086da56-c9b3-4aff-b114-fa4216b20f9f"/>
    <ds:schemaRef ds:uri="http://schemas.microsoft.com/office/2006/metadata/properties"/>
  </ds:schemaRefs>
</ds:datastoreItem>
</file>

<file path=customXml/itemProps2.xml><?xml version="1.0" encoding="utf-8"?>
<ds:datastoreItem xmlns:ds="http://schemas.openxmlformats.org/officeDocument/2006/customXml" ds:itemID="{6A051202-FFCE-4C6C-842E-EE91E1F75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6da56-c9b3-4aff-b114-fa4216b20f9f"/>
    <ds:schemaRef ds:uri="a9c720a8-2322-4cca-a2f4-4f67aee03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398CF9-1FC6-4166-9A3E-3614DAFF8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INDICE</vt:lpstr>
      <vt:lpstr>1.BG USD</vt:lpstr>
      <vt:lpstr>2.EERR USD</vt:lpstr>
      <vt:lpstr>3.VARIAC. PA USD</vt:lpstr>
      <vt:lpstr>Flujo de Fondos Calculo GS U$S</vt:lpstr>
      <vt:lpstr>4.FLUJO EFECTIVO USD</vt:lpstr>
      <vt:lpstr>5.BG G</vt:lpstr>
      <vt:lpstr>6.EERR G</vt:lpstr>
      <vt:lpstr>7.VARIAC. PN G</vt:lpstr>
      <vt:lpstr>Flujo de Fondos Calculo GS</vt:lpstr>
      <vt:lpstr>8.FLUJO EFECTIVO G</vt:lpstr>
      <vt:lpstr>9.INFORME DEL SINDICO</vt:lpstr>
      <vt:lpstr>9.Notas a EEFF</vt:lpstr>
      <vt:lpstr>10.Cuadro de Inversiones</vt:lpstr>
      <vt:lpstr>'9.Notas a EEFF'!_Hlk492023274</vt:lpstr>
      <vt:lpstr>'Flujo de Fondos Calculo GS'!Área_de_impresión</vt:lpstr>
      <vt:lpstr>'Flujo de Fondos Calculo GS U$S'!Área_de_impresión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Sady Pereira</cp:lastModifiedBy>
  <cp:lastPrinted>2021-11-12T21:20:39Z</cp:lastPrinted>
  <dcterms:created xsi:type="dcterms:W3CDTF">2015-06-05T18:19:34Z</dcterms:created>
  <dcterms:modified xsi:type="dcterms:W3CDTF">2022-08-01T20:53:32Z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0x01010001D915E5D2F9304CBE990991EC851EE6</vt:lpwstr>
  </property>
</Properties>
</file>