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drawings/drawing3.xml" ContentType="application/vnd.openxmlformats-officedocument.drawing+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605" windowHeight="6855" tabRatio="759" activeTab="0"/>
  </bookViews>
  <sheets>
    <sheet name="Caratula" sheetId="1" r:id="rId1"/>
    <sheet name="Indice" sheetId="2" r:id="rId2"/>
    <sheet name="BG" sheetId="3" r:id="rId3"/>
    <sheet name="ER" sheetId="4" r:id="rId4"/>
    <sheet name="EVPN" sheetId="5" r:id="rId5"/>
    <sheet name="EFE" sheetId="6" r:id="rId6"/>
    <sheet name="Nota1" sheetId="7" r:id="rId7"/>
    <sheet name="Nota 2" sheetId="8" r:id="rId8"/>
    <sheet name="Nota 3" sheetId="9" r:id="rId9"/>
    <sheet name="Nota 4" sheetId="10" r:id="rId10"/>
    <sheet name="Nota 5" sheetId="11" r:id="rId11"/>
    <sheet name="Nota 6" sheetId="12" r:id="rId12"/>
    <sheet name="Nota 7" sheetId="13" r:id="rId13"/>
    <sheet name="Nota 8" sheetId="14" r:id="rId14"/>
    <sheet name="Nota 9" sheetId="15" r:id="rId15"/>
    <sheet name="Nota 10" sheetId="16" r:id="rId16"/>
    <sheet name="Nota 11" sheetId="17" r:id="rId17"/>
    <sheet name="Nota 12" sheetId="18" r:id="rId18"/>
    <sheet name="Nota 13" sheetId="19" r:id="rId19"/>
    <sheet name="Nota 14" sheetId="20" r:id="rId20"/>
    <sheet name="Nota 15" sheetId="21" r:id="rId21"/>
    <sheet name="Nota 16" sheetId="22" r:id="rId22"/>
    <sheet name="Nota 17" sheetId="23" r:id="rId23"/>
    <sheet name="Nota 18" sheetId="24" r:id="rId24"/>
    <sheet name="Nota 19" sheetId="25" r:id="rId25"/>
    <sheet name="Nota 20" sheetId="26" r:id="rId26"/>
    <sheet name=" Nota 21" sheetId="27" r:id="rId27"/>
    <sheet name="Nota 22" sheetId="28" r:id="rId28"/>
    <sheet name="Nota 23" sheetId="29" r:id="rId29"/>
    <sheet name="Nota 24" sheetId="30" r:id="rId30"/>
    <sheet name="Nota 25" sheetId="31" r:id="rId31"/>
    <sheet name="Nota 26" sheetId="32" r:id="rId32"/>
    <sheet name="Nota 27" sheetId="33" r:id="rId33"/>
    <sheet name="Nota 28" sheetId="34" r:id="rId34"/>
    <sheet name="Nota 29" sheetId="35" r:id="rId35"/>
    <sheet name="Nota 30" sheetId="36" r:id="rId36"/>
    <sheet name="Nota 31" sheetId="37" r:id="rId37"/>
    <sheet name="Nota 32" sheetId="38" r:id="rId38"/>
    <sheet name="Nota 33" sheetId="39" r:id="rId39"/>
    <sheet name="Nota 34" sheetId="40" r:id="rId40"/>
    <sheet name="Nota 35" sheetId="41" r:id="rId41"/>
    <sheet name="Nota 36" sheetId="42" r:id="rId42"/>
    <sheet name="Nota 37" sheetId="43" r:id="rId43"/>
    <sheet name="Nota 38" sheetId="44" r:id="rId44"/>
    <sheet name="Nota 39" sheetId="45" r:id="rId45"/>
    <sheet name="Nota 40" sheetId="46" r:id="rId46"/>
    <sheet name="Base de Monedas" sheetId="47" r:id="rId47"/>
  </sheets>
  <definedNames>
    <definedName name="_Hlk15378568" localSheetId="7">'Nota 2'!#REF!</definedName>
    <definedName name="_xlfn.IFERROR" hidden="1">#NAME?</definedName>
    <definedName name="_xlnm.Print_Area" localSheetId="3">'ER'!$A$1:$D$47</definedName>
  </definedNames>
  <calcPr fullCalcOnLoad="1"/>
</workbook>
</file>

<file path=xl/sharedStrings.xml><?xml version="1.0" encoding="utf-8"?>
<sst xmlns="http://schemas.openxmlformats.org/spreadsheetml/2006/main" count="1926" uniqueCount="1012">
  <si>
    <t>NOTA 1 – DESCRIPCIÓN DE LA NATURALEZA Y DEL NEGOCIO DE LA COMPAÑÍA</t>
  </si>
  <si>
    <t>NOTA 2 - RESUMEN DE LAS PRINCIPALES POLÍTICAS CONTABLES</t>
  </si>
  <si>
    <t>Caja</t>
  </si>
  <si>
    <t>Total</t>
  </si>
  <si>
    <t>La composición de la cuenta es la siguiente:</t>
  </si>
  <si>
    <t>Concepto</t>
  </si>
  <si>
    <t>Recaudaciones a depositar</t>
  </si>
  <si>
    <t>Previsiones</t>
  </si>
  <si>
    <t>A  Total Cartera no Vencida</t>
  </si>
  <si>
    <t>Normal</t>
  </si>
  <si>
    <t>En Gestión de Cobro</t>
  </si>
  <si>
    <t>En Gestión de Cobro Judicial</t>
  </si>
  <si>
    <t>B. Total Cartera Vencida</t>
  </si>
  <si>
    <t>Observaciones</t>
  </si>
  <si>
    <t>Criterios de Clasificación utilizados</t>
  </si>
  <si>
    <t>El rubro de otros créditos se compone como sigue:</t>
  </si>
  <si>
    <t>Garantía de Alquiler</t>
  </si>
  <si>
    <t>Anticipo Impuesto a la Renta</t>
  </si>
  <si>
    <t xml:space="preserve">Total </t>
  </si>
  <si>
    <t>Los bienes de cambio están compuestos de la siguiente manera:</t>
  </si>
  <si>
    <t>Retencion Impuesto a la renta a Pagar</t>
  </si>
  <si>
    <t>Impuestos diferidos</t>
  </si>
  <si>
    <t>INDICE</t>
  </si>
  <si>
    <t>Nota 1</t>
  </si>
  <si>
    <t>Nota 2</t>
  </si>
  <si>
    <t>Nota 3</t>
  </si>
  <si>
    <t>Nota 4</t>
  </si>
  <si>
    <t>Nota 5</t>
  </si>
  <si>
    <t>Nota 6</t>
  </si>
  <si>
    <t>Nota 7</t>
  </si>
  <si>
    <t>Nota 8</t>
  </si>
  <si>
    <t>Nota 9</t>
  </si>
  <si>
    <t>Nota 10</t>
  </si>
  <si>
    <t>Nota 11</t>
  </si>
  <si>
    <t>Nota 12</t>
  </si>
  <si>
    <t>Nota 13</t>
  </si>
  <si>
    <t>Nota 14</t>
  </si>
  <si>
    <t>Nota 15</t>
  </si>
  <si>
    <t>Nota 16</t>
  </si>
  <si>
    <t>Resumen de las principales políticas contables</t>
  </si>
  <si>
    <t>Otros créditos</t>
  </si>
  <si>
    <t>Patrimonio Neto</t>
  </si>
  <si>
    <t>d.   Efectivo y equivalentes de efectivo</t>
  </si>
  <si>
    <t>Reserva de revalúo</t>
  </si>
  <si>
    <t>Resultados acumulados</t>
  </si>
  <si>
    <t xml:space="preserve"> </t>
  </si>
  <si>
    <t>Impuesto a la renta</t>
  </si>
  <si>
    <t>Aporte para</t>
  </si>
  <si>
    <t>aumento de capital</t>
  </si>
  <si>
    <t>Pagos efectuados a proveedores y empleados</t>
  </si>
  <si>
    <t>Efectivo generado por las operaciones</t>
  </si>
  <si>
    <t>Flujo neto de efectivo de actividades operativas</t>
  </si>
  <si>
    <t>Adquisición de bienes Curtiembre - fideicomitida</t>
  </si>
  <si>
    <t>Ventas de activos fijos</t>
  </si>
  <si>
    <t>Flujo neto de efectivo de actividades de inversión</t>
  </si>
  <si>
    <t>Efectivo al final del periodo</t>
  </si>
  <si>
    <t>EVPN</t>
  </si>
  <si>
    <t xml:space="preserve">Estado de Resultados </t>
  </si>
  <si>
    <t>Estado de Evolución del Patrimonio Neto</t>
  </si>
  <si>
    <t>Retención Impuesto a la Renta</t>
  </si>
  <si>
    <t>Retención Impuesto al Valor agregado</t>
  </si>
  <si>
    <t>Bajas</t>
  </si>
  <si>
    <t>Subtotal</t>
  </si>
  <si>
    <t>Ventas</t>
  </si>
  <si>
    <t>No corrientes</t>
  </si>
  <si>
    <t>Corrientes</t>
  </si>
  <si>
    <t>(nuevas cuentas a incluir)</t>
  </si>
  <si>
    <t>Remuneraciones y cargas sociales a pagar</t>
  </si>
  <si>
    <t>Impuestos a pagar</t>
  </si>
  <si>
    <t>Provisiones</t>
  </si>
  <si>
    <t>Diferencia transitoria por conversión</t>
  </si>
  <si>
    <t>Interés minoritario</t>
  </si>
  <si>
    <t>Utilidad bruta</t>
  </si>
  <si>
    <t>Resultado extraordinario neto de impuesto a la renta</t>
  </si>
  <si>
    <t>Resultado sobre actividades discontinuadas neto de impuesto a la renta</t>
  </si>
  <si>
    <t>Utilidad neta por acción ordinaria</t>
  </si>
  <si>
    <t>Resultado ordinario antes del impuesto a la renta</t>
  </si>
  <si>
    <t>Saldo reestructurado</t>
  </si>
  <si>
    <t>Capital suscripto e integrado</t>
  </si>
  <si>
    <t>Primas de emisión</t>
  </si>
  <si>
    <t>Reserva de revalúo técnico</t>
  </si>
  <si>
    <t>Reserva legal</t>
  </si>
  <si>
    <t>Reserva facultativa</t>
  </si>
  <si>
    <t>Interes Minoritario</t>
  </si>
  <si>
    <t>Integración del capital social</t>
  </si>
  <si>
    <t>Revalúo de activos fijos</t>
  </si>
  <si>
    <t>Revalúo técnico</t>
  </si>
  <si>
    <t>Resultado del año</t>
  </si>
  <si>
    <t>Desafectación de la reserva de revalúo técnico</t>
  </si>
  <si>
    <t>Intereses pagados</t>
  </si>
  <si>
    <t>Ventas de bienes de uso</t>
  </si>
  <si>
    <t>Intereses cobrados sobre inversiones</t>
  </si>
  <si>
    <t>Dividendos pagados</t>
  </si>
  <si>
    <t>Aportes de capital recibidos</t>
  </si>
  <si>
    <t>(Disminución) Incremento neto de efectivo</t>
  </si>
  <si>
    <t>Efecto estimado de la diferencia de cambio sobre el saldo de efectivo</t>
  </si>
  <si>
    <t>Efectivo al principio del año</t>
  </si>
  <si>
    <t>Mercaderías</t>
  </si>
  <si>
    <t>Productos terminados</t>
  </si>
  <si>
    <t>Productos en proceso</t>
  </si>
  <si>
    <t>Materia prima</t>
  </si>
  <si>
    <t>Gastos pagados por adelantado</t>
  </si>
  <si>
    <t>Composición Cartera Vencida</t>
  </si>
  <si>
    <t>b.   Uso de estimaciones contables</t>
  </si>
  <si>
    <t>c.   Moneda extranjera</t>
  </si>
  <si>
    <t>Activos</t>
  </si>
  <si>
    <t>Indicar moneda</t>
  </si>
  <si>
    <t>Pasivos</t>
  </si>
  <si>
    <t>Posición neta</t>
  </si>
  <si>
    <t>Inversiones temporales</t>
  </si>
  <si>
    <t>Cuentas por pagar comerciales</t>
  </si>
  <si>
    <t>Préstamos a corto plazo</t>
  </si>
  <si>
    <t>Otros proveedores del exterior</t>
  </si>
  <si>
    <t>Proveedores locales</t>
  </si>
  <si>
    <t>Total cuentas a pagar por comerciales</t>
  </si>
  <si>
    <t>Bonos bursátiles</t>
  </si>
  <si>
    <t>Vencimiento</t>
  </si>
  <si>
    <t>Tipo de garantía</t>
  </si>
  <si>
    <t>Tipo de Garantía</t>
  </si>
  <si>
    <t>(incluir otras entidades)</t>
  </si>
  <si>
    <t>(Incluir programas de forma individual)</t>
  </si>
  <si>
    <t>Propiedad, planta y equipo</t>
  </si>
  <si>
    <t>Activos intangibles</t>
  </si>
  <si>
    <t>Inversiones</t>
  </si>
  <si>
    <t>(Detallar bienes de uso)</t>
  </si>
  <si>
    <t>(Detallar activos intangibles)</t>
  </si>
  <si>
    <t>(Detallar Inversiones</t>
  </si>
  <si>
    <t>Total general</t>
  </si>
  <si>
    <t>Goodwill</t>
  </si>
  <si>
    <t>BG</t>
  </si>
  <si>
    <t>Porción corriente de la deuda a largo plazo</t>
  </si>
  <si>
    <t>Préstamos bancarios</t>
  </si>
  <si>
    <t>Intereses bancarios a pagar</t>
  </si>
  <si>
    <t>Intereses bursatiles a pagar</t>
  </si>
  <si>
    <t>Sueldo y otras remuneraciones a pagar</t>
  </si>
  <si>
    <t>Aportes y retenciones a pagar</t>
  </si>
  <si>
    <t>Remuneraciones al personal superior a pagar</t>
  </si>
  <si>
    <t>(Indicar otras cuentas)</t>
  </si>
  <si>
    <t>Impuesto a la renta a pagar</t>
  </si>
  <si>
    <t>Otros impuestos a pagar</t>
  </si>
  <si>
    <t>(Indicar otros impuestos)</t>
  </si>
  <si>
    <t>Previsiones para contingencias/Indemnizaciones y despidos</t>
  </si>
  <si>
    <t>Otros ingresos diferidos (detallar cuenta)</t>
  </si>
  <si>
    <t>Otros ingresos diferidos</t>
  </si>
  <si>
    <t>ER</t>
  </si>
  <si>
    <t>a  Reserva de revalúo</t>
  </si>
  <si>
    <t>b Reserva legal</t>
  </si>
  <si>
    <t>c Reservas estatutarias</t>
  </si>
  <si>
    <t>d Reservas facultativas</t>
  </si>
  <si>
    <t>Resultado de ejercicios anteriores</t>
  </si>
  <si>
    <t>(Detallar cuenta)</t>
  </si>
  <si>
    <t>Resultado del ejercicio actual</t>
  </si>
  <si>
    <t>Costo de ventas</t>
  </si>
  <si>
    <t>Otros ingresos</t>
  </si>
  <si>
    <t>Resultado operativo</t>
  </si>
  <si>
    <t>Ingresos Financieros netos</t>
  </si>
  <si>
    <t>Total ingresos financieros</t>
  </si>
  <si>
    <t>Gastos Financieros netos</t>
  </si>
  <si>
    <t>Resultado de inversiones en asociadas</t>
  </si>
  <si>
    <t>Resultado participación minoritaria</t>
  </si>
  <si>
    <t>Menos amortización acumulada</t>
  </si>
  <si>
    <t>La preparación de los presentes estados financieros requiere que la Gerencia de la sociedad realice estimaciones y evaluaciones que afectan el monto de los activos y pasivos registrados y contingentes, como así también los ingresos y egresos registrados en el ejercicio.  Los resultados reales futuros pueden diferir de las estimaciones y evaluaciones realizadas a la fecha de preparación de los presentes estados financieros.</t>
  </si>
  <si>
    <t>Las diferencias de cambio originadas por fluctuaciones en los tipos de cambio producidos entre las fechas de concertación de las operaciones y su liquidación o valuación al cierre del ejercicio, son reconocidas en resultados.</t>
  </si>
  <si>
    <t>El costo de las mejoras que extienden la vida útil de los bienes o aumentan su capacidad productiva es imputado a las cuentas respectivas del activo. Los gastos de mantenimiento son cargados a resultados.</t>
  </si>
  <si>
    <t>Los ingresos y egresos son reconocidos en función de su devengamiento.</t>
  </si>
  <si>
    <t>Simbología según ISO 4217</t>
  </si>
  <si>
    <t>Miles de G.</t>
  </si>
  <si>
    <t>Gastos administrativos</t>
  </si>
  <si>
    <t>Los siguientes bienes de propiedad de la Sociedad han sido hipotecados y prendados en garantía de obligaciones financieras.</t>
  </si>
  <si>
    <t>Tipo de Activo</t>
  </si>
  <si>
    <t>Datos  del activo gravado</t>
  </si>
  <si>
    <t>Importe (indicar   moneda)</t>
  </si>
  <si>
    <t>A favor de</t>
  </si>
  <si>
    <t xml:space="preserve">(Esta nota debería incluir un breve detalle de contratos con terceros, vigente a la fecha de cierre del ejercicio, cuyo incumplimiento o cláusula específica podrían generar obligaciones contingentes para el cliente). </t>
  </si>
  <si>
    <t>a)</t>
  </si>
  <si>
    <t>b)</t>
  </si>
  <si>
    <t>(En caso en que entre la fecha del cierre del ejercicio y la fecha de emisión de los estados financieros existan hechos posteriores significativos deberá evaluarse el tipo de hecho posterior del que se trate y modificar esta nota según corresponda).</t>
  </si>
  <si>
    <t>La Sociedad calcula la utilidad (pérdida) neta por acción sobre la base de la utilidad (pérdida) del año y … acciones ordinarias (aclarar las características de las acciones) de valor nominal G/ …cada una con derecho a … voto por acción (aclarar el derecho de voto que tiene cada tipo de acción).</t>
  </si>
  <si>
    <t xml:space="preserve">(Esta nota deberá ser incluida cuando en el estado de resultados se haga mención a una cuenta de carácter general o cuyo nombre no permita una adecuada identificación de la naturaleza del gasto y su importe sea significativo) </t>
  </si>
  <si>
    <t xml:space="preserve">El rubro está compuesto de la siguiente forma: </t>
  </si>
  <si>
    <t>Gastos de Ventas</t>
  </si>
  <si>
    <t>Gastos Administrativos</t>
  </si>
  <si>
    <t>Movilidad y viáticos</t>
  </si>
  <si>
    <t>Gastos de alquiler</t>
  </si>
  <si>
    <t>Computación y redes</t>
  </si>
  <si>
    <t>Gastos por servicios</t>
  </si>
  <si>
    <t>Honorarios profesionales y asesoramiento</t>
  </si>
  <si>
    <t>Investigación de mercado</t>
  </si>
  <si>
    <t>Impuestos y tasas</t>
  </si>
  <si>
    <t>Gastos de reparación y mantenimiento</t>
  </si>
  <si>
    <t>Gastos del personal y capacitación</t>
  </si>
  <si>
    <t>Seguros pagados</t>
  </si>
  <si>
    <t>Otros gastos de operación</t>
  </si>
  <si>
    <t>Remuneraciones de administradores, directores, síndicos y consejo de vigilancia</t>
  </si>
  <si>
    <t>Sueldos y Jornales</t>
  </si>
  <si>
    <t>Contribuciones Sociales</t>
  </si>
  <si>
    <t>Regalías y Honorarios por servicios técnicos</t>
  </si>
  <si>
    <t>Gastos de Publicidad y Propaganda</t>
  </si>
  <si>
    <t>Intereses, multas y recargos impositivos</t>
  </si>
  <si>
    <t>Intereses a bancos e instituciones financieras</t>
  </si>
  <si>
    <t>Amortización activos intangibles</t>
  </si>
  <si>
    <t>Nota 34 - Resultado de inversiones en asociadas</t>
  </si>
  <si>
    <t>a.   Bases de contabilización (Según NIF Bases de preparación de los Estados Financieros)</t>
  </si>
  <si>
    <t>Nota</t>
  </si>
  <si>
    <t>ACTIVOS</t>
  </si>
  <si>
    <t>Activos Corrientes</t>
  </si>
  <si>
    <t>Efectivo y equivalente de efectivo</t>
  </si>
  <si>
    <t>Cuentas por cobrar comerciales</t>
  </si>
  <si>
    <t>Inventarios</t>
  </si>
  <si>
    <t>Activos no Corrientes</t>
  </si>
  <si>
    <t xml:space="preserve">Otros créditos </t>
  </si>
  <si>
    <t>Costo histórico revaluado al inicio del año</t>
  </si>
  <si>
    <t>Adquisiciones</t>
  </si>
  <si>
    <t>Revalúo del año</t>
  </si>
  <si>
    <t>Valor de origen revaluado al final del año</t>
  </si>
  <si>
    <t>Depreciación acumulada revaluada al inicio del año</t>
  </si>
  <si>
    <t>Depreciación del año</t>
  </si>
  <si>
    <t>Bajas de depreciaciones acumuladas</t>
  </si>
  <si>
    <t>Revalúo depreciación acumulada del año</t>
  </si>
  <si>
    <t>Depreciación acumulada revaluada al final del año</t>
  </si>
  <si>
    <t>Instalaciones</t>
  </si>
  <si>
    <t>Rodados</t>
  </si>
  <si>
    <t>Equipos de computación</t>
  </si>
  <si>
    <t>Muebles y útiles</t>
  </si>
  <si>
    <t>Equipos de comunicación</t>
  </si>
  <si>
    <t>Maquinarias y herramientas</t>
  </si>
  <si>
    <t>Obras en curso</t>
  </si>
  <si>
    <t>En miles de guaraníes</t>
  </si>
  <si>
    <t>Activos disponibles para la venta</t>
  </si>
  <si>
    <t>Total Activos</t>
  </si>
  <si>
    <t>PASIVOS Y PATRIMONIO NETO</t>
  </si>
  <si>
    <t>Pasivos corrientes</t>
  </si>
  <si>
    <t>Total Pasivos Corrientes</t>
  </si>
  <si>
    <t xml:space="preserve">Préstamos a corto plazo </t>
  </si>
  <si>
    <t>Otros pasivos corrientes</t>
  </si>
  <si>
    <t>Pasivos no corrientes</t>
  </si>
  <si>
    <t xml:space="preserve">Préstamos a largo plazo </t>
  </si>
  <si>
    <t>Deudas bursátiles</t>
  </si>
  <si>
    <t>Capital integrado</t>
  </si>
  <si>
    <t>Reservas estatutarias</t>
  </si>
  <si>
    <t>Reservas facultatitvas</t>
  </si>
  <si>
    <t>Total Patrimonio Neto</t>
  </si>
  <si>
    <t>Total Pasivos y Patrimonio Neto</t>
  </si>
  <si>
    <t xml:space="preserve"> (En miles de guaraníes)</t>
  </si>
  <si>
    <t>Gastos de ventas</t>
  </si>
  <si>
    <t>Miles de guaraníes</t>
  </si>
  <si>
    <t xml:space="preserve">Gastos administrativos </t>
  </si>
  <si>
    <t>Otros gastos</t>
  </si>
  <si>
    <t>Otros ingresos  y gastos operativos</t>
  </si>
  <si>
    <t>Contado</t>
  </si>
  <si>
    <t>Crédito</t>
  </si>
  <si>
    <t>Existencia inicial del inventario</t>
  </si>
  <si>
    <t>+ Compra de bienes y servicios</t>
  </si>
  <si>
    <t>+ Costo de producción</t>
  </si>
  <si>
    <t>- Existencia final de inventario</t>
  </si>
  <si>
    <t>Total costo de ventas</t>
  </si>
  <si>
    <t>Total gastos financieros</t>
  </si>
  <si>
    <t xml:space="preserve">Utilidad/(Pérdida) neta del año </t>
  </si>
  <si>
    <t>(En miles de guaraníes)</t>
  </si>
  <si>
    <t>Pagos de impuesto a la renta</t>
  </si>
  <si>
    <t>FLUJO DE EFECTIVO DE ACTIVIDADES OPERATIVAS</t>
  </si>
  <si>
    <t xml:space="preserve">FLUJO DE EFECTIVO DE ACTIVIDADES DE INVERSIÓN </t>
  </si>
  <si>
    <t>Aquisición de inversiones</t>
  </si>
  <si>
    <t>FLUJO DE EFECTIVO DE ACTIVIDADES DE FINANCIACIÓN</t>
  </si>
  <si>
    <t>Distribución de dividendos s/Acta de Asamblea Ordinaria N°… de fecha………</t>
  </si>
  <si>
    <t>Reducción del capital social s/Acta de Asamblea General Ordinaria N°… de fecha……..</t>
  </si>
  <si>
    <t>Aporte de los propietarios</t>
  </si>
  <si>
    <t>Balance General</t>
  </si>
  <si>
    <t>Estado de Flujos de Efectivo</t>
  </si>
  <si>
    <t>EFE</t>
  </si>
  <si>
    <t>Se considerarán dentro del concepto de efectivo los saldos en efectivo, disponibilidades en cuentas bancarias y toda inversión de muy alta liquidez, con vencimiento originalmente pactado no superior a tres meses.</t>
  </si>
  <si>
    <t>NOTA 4 - INVERSIONES TEMPORALES</t>
  </si>
  <si>
    <t>NOTA  5 – CUENTAS POR COBRAR COMERCIALES</t>
  </si>
  <si>
    <t>Situación</t>
  </si>
  <si>
    <t>NOTA 6 - OTROS CRÉDITOS</t>
  </si>
  <si>
    <t>Cheques adelantados recibidos de clientes</t>
  </si>
  <si>
    <t>Deudores en gestión judicial</t>
  </si>
  <si>
    <t>Cheques rechazados</t>
  </si>
  <si>
    <t>Deudores por ventas locales</t>
  </si>
  <si>
    <t>Deudores por ventas en el exterior</t>
  </si>
  <si>
    <t>BALANCE GENERAL</t>
  </si>
  <si>
    <t>ESTADO DE RESULTADOS</t>
  </si>
  <si>
    <t>Comparativo con igual período del año anterior</t>
  </si>
  <si>
    <t>Comparativo con igual periodo del año anterior</t>
  </si>
  <si>
    <t>I.V.A. Crédito fiscal</t>
  </si>
  <si>
    <t>Anticipos a proveedores</t>
  </si>
  <si>
    <t xml:space="preserve">Anticipos a proveedores </t>
  </si>
  <si>
    <t>NOTA 7 – INVENTARIOS</t>
  </si>
  <si>
    <t>(-) Previsión para desvalorización y deterioro de inventario</t>
  </si>
  <si>
    <t>Total activos corrientes</t>
  </si>
  <si>
    <t>Nota 8 - INVERSIONES EN ASOCIADAS</t>
  </si>
  <si>
    <t>Las inversiones en sociedades donde no se ejerce control se describen a continuación</t>
  </si>
  <si>
    <t>Total del resultado</t>
  </si>
  <si>
    <t>En miles de guaranies</t>
  </si>
  <si>
    <t>a) Datos sobre la sociedad:</t>
  </si>
  <si>
    <t>Total valuación patrimonial proporcional</t>
  </si>
  <si>
    <t>NOTA 9 - PROPIEDADES, PLANTA Y EQUIPO - NETO</t>
  </si>
  <si>
    <t>Totales</t>
  </si>
  <si>
    <t>Obs.:</t>
  </si>
  <si>
    <t>Incluir aclaraciones en los siguientes casos:</t>
  </si>
  <si>
    <t>Ver adicionalmente Norma de Información Financiera N° 11 Propiedades, planta y equipo</t>
  </si>
  <si>
    <t>1.      Cuando los bienes de uso tienen alguna restricción sobre su utilización, como por ejemplo cuando están garantizando obligaciones. En su caso también hacer referencia a la nota correspondiente.</t>
  </si>
  <si>
    <t>2.      Cuando exista alguna previsión por desvalorización (“deterioro”), detallando la evolución de la misma en el transcurso del año.</t>
  </si>
  <si>
    <t>3.      Si se están capitalizando intereses al costo de bienes de uso. En su caso deberá aclararse la tasa utilizada para la capitalización.</t>
  </si>
  <si>
    <t>NOTA 10 – ACTIVOS DISPONIBLES PARA LA VENTA</t>
  </si>
  <si>
    <t>NOTA 11 – ACTIVOS INTANGIBLES</t>
  </si>
  <si>
    <t>NOTA 12 – GOODWILL</t>
  </si>
  <si>
    <t>Total activos no corrientes</t>
  </si>
  <si>
    <t>NOTA 13 – CUENTAS POR PAGAR COMERCIALES</t>
  </si>
  <si>
    <t>NOTA 14 –  PRESTAMOS A CORTO Y LARGO PLAZO</t>
  </si>
  <si>
    <t>Moneda</t>
  </si>
  <si>
    <t>NOTA 15 – PORCION CORRIENTE DE LA DEUDA A LARGO PLAZO</t>
  </si>
  <si>
    <t>NOTA 16 – REMUNERACIONES Y CARGAS SOCIALES A PAGAR</t>
  </si>
  <si>
    <t>(b) Obligaciones garantizadas por valor de guaraníes………..</t>
  </si>
  <si>
    <t>NOTA 18 -  PROVISIONES</t>
  </si>
  <si>
    <t>(Indicar cuentas)</t>
  </si>
  <si>
    <t>NOTA 19 – OTROS PASIVOS CORRIENTES y NO CORRIENTES</t>
  </si>
  <si>
    <t>Total pasivos no corrientes</t>
  </si>
  <si>
    <t>NOTA 20 – CAPITAL INTEGRADO</t>
  </si>
  <si>
    <t>NOTA 21 –  DIFERENCIA TRANSITORIA POR CONVERSION</t>
  </si>
  <si>
    <t>NOTA 21 – RESERVAS</t>
  </si>
  <si>
    <t>NOTA 23 –  RESULTADOS ACUMULADOS</t>
  </si>
  <si>
    <t>NOTA 24 –  INTERES MINORITARIO</t>
  </si>
  <si>
    <t>NOTA 25 –  VENTAS</t>
  </si>
  <si>
    <t>NOTA 26 - COSTO DE VENTAS</t>
  </si>
  <si>
    <t>NOTA 27 - GASTOS</t>
  </si>
  <si>
    <t>Nota 28 - Otros Ingresos y gastos operativos</t>
  </si>
  <si>
    <t>NOTA 29 - INGRESOS Y GASTOS FINANCIEROS NETOS</t>
  </si>
  <si>
    <t>NOTA 17 –  IMPUESTOS A PAGAR</t>
  </si>
  <si>
    <t>Nota 31 - Resultado participación minoritaria</t>
  </si>
  <si>
    <t>Nota 33 - Resultado extraordinario neto de impuesto a la renta</t>
  </si>
  <si>
    <t>Nota 32 - IMPUESTO A LA RENTA</t>
  </si>
  <si>
    <t>Nota 34 - Resultado sobre actividades discontinuadas neto de impuesto a la renta</t>
  </si>
  <si>
    <t>- Impuesto a la renta</t>
  </si>
  <si>
    <t>NOTA 35- UTILIDAD (PÉRDIDA) NETA DEL AÑO Y POR ACCION ORDINARIA</t>
  </si>
  <si>
    <t>Descripción de la naturaleza y del negocio de la Sociedad</t>
  </si>
  <si>
    <t>Propiedades, planta y equipo</t>
  </si>
  <si>
    <t>Nota 17</t>
  </si>
  <si>
    <t>Nota 18</t>
  </si>
  <si>
    <t>Nota 19</t>
  </si>
  <si>
    <t>Nota 20</t>
  </si>
  <si>
    <t>Prestamos a largo plazo</t>
  </si>
  <si>
    <t>Otros pasivos  no corrientes</t>
  </si>
  <si>
    <t>Otros pasivos no corrientes</t>
  </si>
  <si>
    <t>Nota 21</t>
  </si>
  <si>
    <t>Nota 22</t>
  </si>
  <si>
    <t>Nota 23</t>
  </si>
  <si>
    <t>Nota 24</t>
  </si>
  <si>
    <t>Nota 25</t>
  </si>
  <si>
    <t>Nota 26</t>
  </si>
  <si>
    <t>Nota 27</t>
  </si>
  <si>
    <t>Nota 28</t>
  </si>
  <si>
    <t>Otros ingresos y gastos operativos</t>
  </si>
  <si>
    <t>Nota 29</t>
  </si>
  <si>
    <t>Nota 30</t>
  </si>
  <si>
    <t>Nota 31</t>
  </si>
  <si>
    <t>Nota 32</t>
  </si>
  <si>
    <t>Nota 33</t>
  </si>
  <si>
    <t>Nota 34</t>
  </si>
  <si>
    <t>Nota 35</t>
  </si>
  <si>
    <t>Utilidad/(Pérdida) neta del año</t>
  </si>
  <si>
    <t>REF.</t>
  </si>
  <si>
    <t>Activos gravados</t>
  </si>
  <si>
    <t>Nota 36</t>
  </si>
  <si>
    <t>NOTA 36 - ACTIVOS GRAVADOS</t>
  </si>
  <si>
    <t>Indice</t>
  </si>
  <si>
    <t xml:space="preserve">NOTA 37 - CONTINGENCIAS Y COMPROMISOS </t>
  </si>
  <si>
    <t>Contingencias y compromisos</t>
  </si>
  <si>
    <t>Nota 37</t>
  </si>
  <si>
    <t>Hechos posteriores</t>
  </si>
  <si>
    <t>Nota 38</t>
  </si>
  <si>
    <t>Nota 39</t>
  </si>
  <si>
    <t>NOTA 38 - IMPUESTO DIFERIDO</t>
  </si>
  <si>
    <t>La Sociedad contabiliza el impuesto a la renta por el método de lo diferido, método del pasivo. El mencionado método establece la determinación de activos o pasivos impositivos diferidos netos basados en las diferencias temporales y temporarias, con cargo a la línea Impuesto a la renta del Estado de resultados.</t>
  </si>
  <si>
    <t>El siguiente cuadro detalla las diferencias temporales a la tasa del impuesto a los efectos de determinación del impuesto diferido:</t>
  </si>
  <si>
    <t xml:space="preserve">Activos y pasivos impositivos diferidos: </t>
  </si>
  <si>
    <t>Caja y Bancos</t>
  </si>
  <si>
    <t>Previsión para deudores incobrables</t>
  </si>
  <si>
    <t>Bienes de uso</t>
  </si>
  <si>
    <t>Previsión del pasivo</t>
  </si>
  <si>
    <t>Deudas comerciales y bancarias</t>
  </si>
  <si>
    <t>Bienes de cambio</t>
  </si>
  <si>
    <t xml:space="preserve">Sub - total  </t>
  </si>
  <si>
    <t xml:space="preserve">Previsión para impuestos diferidos netos </t>
  </si>
  <si>
    <t>Total activo/pasivo impositivo diferido neto antes de quebrantos</t>
  </si>
  <si>
    <t>Quebranto impositivo</t>
  </si>
  <si>
    <t xml:space="preserve">Al … de …........... 20X2 la Sociedad constituyó una provisión para impuesto a la renta de Guaraníes  …... (Al … de …...............20X1:  Guaraníes  …....) / (La Sociedad no ha constituido provisión para impuesto a la renta, debido a que a esa fecha la misma generó renta imponible que fue compensada con quebrantos impositivos acumulados a esa fecha). </t>
  </si>
  <si>
    <t>NOTA 39 - HECHOS POSTERIORES</t>
  </si>
  <si>
    <t xml:space="preserve">Obs.: Esta información debe estar ajustada  a lo requerido por la Norma de Información Financiera N° 5 Contingencias y sucesos que ocurren después de la fecha del balance. </t>
  </si>
  <si>
    <t>Las notas que se acompañan forman parte integrante de estos estados.</t>
  </si>
  <si>
    <t>Inversión en asociadas</t>
  </si>
  <si>
    <t>Propiedades, planta y equipo/Bienes de uso, neto</t>
  </si>
  <si>
    <t>Total Pasivos</t>
  </si>
  <si>
    <t>Reservas facultativas</t>
  </si>
  <si>
    <t>Gastos financieros -  neto</t>
  </si>
  <si>
    <t>Ingresos financieros - neto</t>
  </si>
  <si>
    <t>Resultados ordinarios antes de impuesto a la renta y participación minoritaria</t>
  </si>
  <si>
    <t>Resultado neto de actividades ordinarias</t>
  </si>
  <si>
    <t>Gastos financieros - neto</t>
  </si>
  <si>
    <t>Impuesto diferido</t>
  </si>
  <si>
    <t>Ganancias reservadas</t>
  </si>
  <si>
    <t>Cambio en política contable (Nota….)</t>
  </si>
  <si>
    <t>Cobranzas efectuadas a clientes</t>
  </si>
  <si>
    <t>Otros ingresos y (egresos) - neto</t>
  </si>
  <si>
    <t>Adquisición de bienes de uso</t>
  </si>
  <si>
    <t>(Disminución) Incremento de préstamos</t>
  </si>
  <si>
    <t>Flujo neto de efectivo de actividades de financiamiento</t>
  </si>
  <si>
    <t>Informacion General</t>
  </si>
  <si>
    <t>Otras Notas de los Estados Financieros</t>
  </si>
  <si>
    <t>USD</t>
  </si>
  <si>
    <t>PYG</t>
  </si>
  <si>
    <t>Bancos Locales - Moneda extranjera Dólares</t>
  </si>
  <si>
    <t>Bancos Locales - Moneda local Guaraníes</t>
  </si>
  <si>
    <t>Bancos en el Extranjero - Moneda extranjera Dólares</t>
  </si>
  <si>
    <t>Bancos Locales - Moneda extranjera otros</t>
  </si>
  <si>
    <t>NOTA 3 - EFECTIVO Y EQUIVALENTE DE EFECTIVO</t>
  </si>
  <si>
    <t>Inversiones en Titulos del Sistema Financiero Local - Moneda Extranjera otros</t>
  </si>
  <si>
    <t>Inversiones en Titulos del Sistema Financiero Local - Moneda Extranjera Dólares</t>
  </si>
  <si>
    <t>Inversiones en Mercado Bursatil Local - Moneda Extranjera Dólares</t>
  </si>
  <si>
    <t>Inversiones en Mercado Bursatil Extranjera - Moneda Extranjera Dólares</t>
  </si>
  <si>
    <t>Inversiones en Mercado Bursatil Extranjera - Moneda Extranjera otros</t>
  </si>
  <si>
    <t>Otras inversiones - Moneda Local Guaraníes</t>
  </si>
  <si>
    <t>Inversiones en Titulos del Sistema Financiero Local - Moneda Local Guaraníes</t>
  </si>
  <si>
    <t>Inversiones en Mercado Bursatil Local - Moneda Local Guaraníes</t>
  </si>
  <si>
    <t>Otras inversiones - Moneda Extranjera Dólares</t>
  </si>
  <si>
    <t>Moneda Local Guaraníes</t>
  </si>
  <si>
    <t>Moneda Extranjera Dólares</t>
  </si>
  <si>
    <t>Moneda Extranjera otros</t>
  </si>
  <si>
    <t>Deudores - Entidad relacionada</t>
  </si>
  <si>
    <t>Otros</t>
  </si>
  <si>
    <t>Menos Previsiones</t>
  </si>
  <si>
    <t>Nombre de Sociedad</t>
  </si>
  <si>
    <t>RUC</t>
  </si>
  <si>
    <t>Enero</t>
  </si>
  <si>
    <t>Febrero</t>
  </si>
  <si>
    <t>Marzo</t>
  </si>
  <si>
    <t>Abril</t>
  </si>
  <si>
    <t>Mayo</t>
  </si>
  <si>
    <t>Junio</t>
  </si>
  <si>
    <t>Julio</t>
  </si>
  <si>
    <t>Agosto</t>
  </si>
  <si>
    <t>Septiembre</t>
  </si>
  <si>
    <t>Octubre</t>
  </si>
  <si>
    <t>Noviembre</t>
  </si>
  <si>
    <t>Diciembre</t>
  </si>
  <si>
    <t>Total Patrimonio neto</t>
  </si>
  <si>
    <t>Periodo</t>
  </si>
  <si>
    <t>a) Datos sobre la inversión:</t>
  </si>
  <si>
    <t>Cantidad de acciones</t>
  </si>
  <si>
    <t>Total Inversión</t>
  </si>
  <si>
    <t>Participación sobre los votos (%)</t>
  </si>
  <si>
    <t>Participación sobre el Patrimonio Neto (%)</t>
  </si>
  <si>
    <t>Resultado sobre inversiones</t>
  </si>
  <si>
    <t>Total Inversión (miles de Gs)</t>
  </si>
  <si>
    <t>&lt;-- Indicar Monto</t>
  </si>
  <si>
    <t>Valor neto contable</t>
  </si>
  <si>
    <t>Proveedores - Entidades Relacionadas</t>
  </si>
  <si>
    <t>Indicación de Moneda</t>
  </si>
  <si>
    <t>AED</t>
  </si>
  <si>
    <t>Dírham de los Emiratos Árabes Unidos</t>
  </si>
  <si>
    <t>AFN</t>
  </si>
  <si>
    <t>ALL</t>
  </si>
  <si>
    <t>AMD</t>
  </si>
  <si>
    <t>ANG</t>
  </si>
  <si>
    <t>AOA</t>
  </si>
  <si>
    <t>ARS</t>
  </si>
  <si>
    <t>AUD</t>
  </si>
  <si>
    <t>AWG</t>
  </si>
  <si>
    <t>AZN</t>
  </si>
  <si>
    <t>BAM</t>
  </si>
  <si>
    <t>BBD</t>
  </si>
  <si>
    <t>BDT</t>
  </si>
  <si>
    <t>BGN</t>
  </si>
  <si>
    <t>BHD</t>
  </si>
  <si>
    <t>BIF</t>
  </si>
  <si>
    <t>BMD</t>
  </si>
  <si>
    <t>BND</t>
  </si>
  <si>
    <t>BOB</t>
  </si>
  <si>
    <t>BRL</t>
  </si>
  <si>
    <t>BSD</t>
  </si>
  <si>
    <t>BTN</t>
  </si>
  <si>
    <t>BWP</t>
  </si>
  <si>
    <t>BYN</t>
  </si>
  <si>
    <t>BZD</t>
  </si>
  <si>
    <t>CAD</t>
  </si>
  <si>
    <t>CDF</t>
  </si>
  <si>
    <t>CHF</t>
  </si>
  <si>
    <t>CLP</t>
  </si>
  <si>
    <t>CNY</t>
  </si>
  <si>
    <t>COP</t>
  </si>
  <si>
    <t>CRC</t>
  </si>
  <si>
    <t>CUC</t>
  </si>
  <si>
    <t>CUP</t>
  </si>
  <si>
    <t>CVE</t>
  </si>
  <si>
    <t>CZK</t>
  </si>
  <si>
    <t>DJF</t>
  </si>
  <si>
    <t>DKK</t>
  </si>
  <si>
    <t>DOP</t>
  </si>
  <si>
    <t>DZD</t>
  </si>
  <si>
    <t>EGP</t>
  </si>
  <si>
    <t>ERN</t>
  </si>
  <si>
    <t>ETB</t>
  </si>
  <si>
    <t>EUR</t>
  </si>
  <si>
    <t>FJD</t>
  </si>
  <si>
    <t>FKP</t>
  </si>
  <si>
    <t>GBP</t>
  </si>
  <si>
    <t>GEL</t>
  </si>
  <si>
    <t>GHS</t>
  </si>
  <si>
    <t>GIP</t>
  </si>
  <si>
    <t>GMD</t>
  </si>
  <si>
    <t>GNF</t>
  </si>
  <si>
    <t>GTQ</t>
  </si>
  <si>
    <t>GYD</t>
  </si>
  <si>
    <t>HKD</t>
  </si>
  <si>
    <t>HNL</t>
  </si>
  <si>
    <t>HRK</t>
  </si>
  <si>
    <t>HTG</t>
  </si>
  <si>
    <t>HUF</t>
  </si>
  <si>
    <t>IDR</t>
  </si>
  <si>
    <t>ILS</t>
  </si>
  <si>
    <t>INR</t>
  </si>
  <si>
    <t>IQD</t>
  </si>
  <si>
    <t>IRR</t>
  </si>
  <si>
    <t>ISK</t>
  </si>
  <si>
    <t>JMD</t>
  </si>
  <si>
    <t>JOD</t>
  </si>
  <si>
    <t>JPY</t>
  </si>
  <si>
    <t>KES</t>
  </si>
  <si>
    <t>KGS</t>
  </si>
  <si>
    <t>KHR</t>
  </si>
  <si>
    <t>KMF</t>
  </si>
  <si>
    <t>KPW</t>
  </si>
  <si>
    <t>KRW</t>
  </si>
  <si>
    <t>KWD</t>
  </si>
  <si>
    <t>KYD</t>
  </si>
  <si>
    <t>KZT</t>
  </si>
  <si>
    <t>LAK</t>
  </si>
  <si>
    <t>LBP</t>
  </si>
  <si>
    <t>LKR</t>
  </si>
  <si>
    <t>LRD</t>
  </si>
  <si>
    <t>LSL</t>
  </si>
  <si>
    <t>LYD</t>
  </si>
  <si>
    <t>MAD</t>
  </si>
  <si>
    <t>MDL</t>
  </si>
  <si>
    <t>MGA</t>
  </si>
  <si>
    <t>MKD</t>
  </si>
  <si>
    <t>MMK</t>
  </si>
  <si>
    <t>MNT</t>
  </si>
  <si>
    <t>MOP</t>
  </si>
  <si>
    <t>MRU</t>
  </si>
  <si>
    <t>MUR</t>
  </si>
  <si>
    <t>MVR</t>
  </si>
  <si>
    <t>MWK</t>
  </si>
  <si>
    <t>MXN</t>
  </si>
  <si>
    <t>MYR</t>
  </si>
  <si>
    <t>MZN</t>
  </si>
  <si>
    <t>NAD</t>
  </si>
  <si>
    <t>NGN</t>
  </si>
  <si>
    <t>NIO</t>
  </si>
  <si>
    <t>NOK</t>
  </si>
  <si>
    <t>NPR</t>
  </si>
  <si>
    <t>NZD</t>
  </si>
  <si>
    <t>Dólar neozelandés</t>
  </si>
  <si>
    <t>OMR</t>
  </si>
  <si>
    <t>PAB</t>
  </si>
  <si>
    <t>PEN</t>
  </si>
  <si>
    <t>PGK</t>
  </si>
  <si>
    <t>PHP</t>
  </si>
  <si>
    <t>PKR</t>
  </si>
  <si>
    <t>PLN</t>
  </si>
  <si>
    <t>QAR</t>
  </si>
  <si>
    <t>RON</t>
  </si>
  <si>
    <t>RSD</t>
  </si>
  <si>
    <t>RUB</t>
  </si>
  <si>
    <t>RWF</t>
  </si>
  <si>
    <t>SAR</t>
  </si>
  <si>
    <t>SBD</t>
  </si>
  <si>
    <t>SCR</t>
  </si>
  <si>
    <t>SDG</t>
  </si>
  <si>
    <t>SEK</t>
  </si>
  <si>
    <t>SGD</t>
  </si>
  <si>
    <t>SHP</t>
  </si>
  <si>
    <t>SLL</t>
  </si>
  <si>
    <t>SOS</t>
  </si>
  <si>
    <t>SRD</t>
  </si>
  <si>
    <t>STN</t>
  </si>
  <si>
    <t>SVC</t>
  </si>
  <si>
    <t>SYP</t>
  </si>
  <si>
    <t>SZL</t>
  </si>
  <si>
    <t>THB</t>
  </si>
  <si>
    <t>TJS</t>
  </si>
  <si>
    <t>TMT</t>
  </si>
  <si>
    <t>TND</t>
  </si>
  <si>
    <t>TOP</t>
  </si>
  <si>
    <t>TRY</t>
  </si>
  <si>
    <t>TTD</t>
  </si>
  <si>
    <t>TWD</t>
  </si>
  <si>
    <t>TZS</t>
  </si>
  <si>
    <t>UAH</t>
  </si>
  <si>
    <t>UGX</t>
  </si>
  <si>
    <t>Dólar estadounidense</t>
  </si>
  <si>
    <t>UYU</t>
  </si>
  <si>
    <t>UZS</t>
  </si>
  <si>
    <t>VND</t>
  </si>
  <si>
    <t>VUV</t>
  </si>
  <si>
    <t>WST</t>
  </si>
  <si>
    <t>XAF</t>
  </si>
  <si>
    <t>XCD</t>
  </si>
  <si>
    <t>XDR</t>
  </si>
  <si>
    <t>XOF</t>
  </si>
  <si>
    <t>XPF</t>
  </si>
  <si>
    <t>YER</t>
  </si>
  <si>
    <t>ZAR</t>
  </si>
  <si>
    <t>ZMW</t>
  </si>
  <si>
    <t>Afgani</t>
  </si>
  <si>
    <t>Lek</t>
  </si>
  <si>
    <t>Dram armenio</t>
  </si>
  <si>
    <t>Florín antillano neerlandés</t>
  </si>
  <si>
    <t>Kwanza</t>
  </si>
  <si>
    <t>Peso argentino</t>
  </si>
  <si>
    <t>Dólar australiano</t>
  </si>
  <si>
    <t>Florín arubeño</t>
  </si>
  <si>
    <t>Manat azerbaiyano</t>
  </si>
  <si>
    <t>Marco convertible</t>
  </si>
  <si>
    <t>Dólar de Barbados</t>
  </si>
  <si>
    <t>Taka</t>
  </si>
  <si>
    <t>Lev búlgaro</t>
  </si>
  <si>
    <t>Dinar bareiní</t>
  </si>
  <si>
    <t>Franco de Burundi</t>
  </si>
  <si>
    <t>Dólar bermudeño</t>
  </si>
  <si>
    <t>Dólar de Brunéi</t>
  </si>
  <si>
    <t>Boliviano</t>
  </si>
  <si>
    <t>BOV</t>
  </si>
  <si>
    <t>MVDOL</t>
  </si>
  <si>
    <t>Real brasileño</t>
  </si>
  <si>
    <t>Dólar bahameño</t>
  </si>
  <si>
    <t>Ngultrum</t>
  </si>
  <si>
    <t>Pula</t>
  </si>
  <si>
    <t>Rublo bielorruso</t>
  </si>
  <si>
    <t>Dólar beliceño</t>
  </si>
  <si>
    <t>Dólar canadiense</t>
  </si>
  <si>
    <t>Franco congoleño</t>
  </si>
  <si>
    <t>CHE</t>
  </si>
  <si>
    <t>Euro WIR</t>
  </si>
  <si>
    <t>Franco suizo</t>
  </si>
  <si>
    <t>CHW</t>
  </si>
  <si>
    <t>Franco WIR</t>
  </si>
  <si>
    <t>CLF</t>
  </si>
  <si>
    <t>Unidad de fomento</t>
  </si>
  <si>
    <t>Peso chileno</t>
  </si>
  <si>
    <t>Yuan chino</t>
  </si>
  <si>
    <t>Peso colombiano</t>
  </si>
  <si>
    <t>COU</t>
  </si>
  <si>
    <t>Unidad de valor real</t>
  </si>
  <si>
    <t>Colón costarricense</t>
  </si>
  <si>
    <t>Peso convertible</t>
  </si>
  <si>
    <t>Peso cubano</t>
  </si>
  <si>
    <t>Escudo caboverdiano</t>
  </si>
  <si>
    <t>Corona checa</t>
  </si>
  <si>
    <t>Franco yibutiano</t>
  </si>
  <si>
    <t>Corona danesa</t>
  </si>
  <si>
    <t>Peso dominicano</t>
  </si>
  <si>
    <t>Dinar argelino</t>
  </si>
  <si>
    <t>Libra egipcia</t>
  </si>
  <si>
    <t>Nakfa</t>
  </si>
  <si>
    <t>Birr etíope</t>
  </si>
  <si>
    <t>Euro</t>
  </si>
  <si>
    <t>Dólar fiyiano</t>
  </si>
  <si>
    <t>Libra malvinense</t>
  </si>
  <si>
    <t>Libra esterlina</t>
  </si>
  <si>
    <t>Lari</t>
  </si>
  <si>
    <t>Cedi ghanés</t>
  </si>
  <si>
    <t>Libra de Gibraltar</t>
  </si>
  <si>
    <t>Dalasi</t>
  </si>
  <si>
    <t>Franco guineano</t>
  </si>
  <si>
    <t>Quetzal</t>
  </si>
  <si>
    <t>Dólar guyanés</t>
  </si>
  <si>
    <t>Dólar de Hong Kong</t>
  </si>
  <si>
    <t>Lempira</t>
  </si>
  <si>
    <t>Kuna</t>
  </si>
  <si>
    <t>Gourde</t>
  </si>
  <si>
    <t>Forinto</t>
  </si>
  <si>
    <t>Rupia indonesia</t>
  </si>
  <si>
    <t>Nuevo shéquel israelí</t>
  </si>
  <si>
    <t>Rupia india</t>
  </si>
  <si>
    <t>Dinar iraquí</t>
  </si>
  <si>
    <t>Rial iraní</t>
  </si>
  <si>
    <t>Corona islandesa</t>
  </si>
  <si>
    <t>Dólar jamaiquino</t>
  </si>
  <si>
    <t>Dinar jordano</t>
  </si>
  <si>
    <t>Yen</t>
  </si>
  <si>
    <t>Chelín keniano</t>
  </si>
  <si>
    <t>Som</t>
  </si>
  <si>
    <t>Riel</t>
  </si>
  <si>
    <t>Franco comorense</t>
  </si>
  <si>
    <t>Won norcoreano</t>
  </si>
  <si>
    <t>Won</t>
  </si>
  <si>
    <t>Dinar kuwaití</t>
  </si>
  <si>
    <t>Dólar de las Islas Caimán</t>
  </si>
  <si>
    <t>Tenge</t>
  </si>
  <si>
    <t>Kip</t>
  </si>
  <si>
    <t>Libra libanesa</t>
  </si>
  <si>
    <t>Rupia de Sri Lanka</t>
  </si>
  <si>
    <t>Dólar liberiano</t>
  </si>
  <si>
    <t>Loti</t>
  </si>
  <si>
    <t>Dinar libio</t>
  </si>
  <si>
    <t>Dírham marroquí</t>
  </si>
  <si>
    <t>Leu moldavo</t>
  </si>
  <si>
    <t>Ariary malgache</t>
  </si>
  <si>
    <t>Denar</t>
  </si>
  <si>
    <t>Kyat</t>
  </si>
  <si>
    <t>Tugrik</t>
  </si>
  <si>
    <t>Pataca</t>
  </si>
  <si>
    <t>Uguiya</t>
  </si>
  <si>
    <t>Rupia de Mauricio</t>
  </si>
  <si>
    <t>Rufiyaa</t>
  </si>
  <si>
    <t>Kwacha</t>
  </si>
  <si>
    <t>Peso mexicano</t>
  </si>
  <si>
    <t>MXV</t>
  </si>
  <si>
    <t>Unidad de Inversión (UDI) mexicana</t>
  </si>
  <si>
    <t>Ringgit malayo</t>
  </si>
  <si>
    <t>Metical mozambiqueño</t>
  </si>
  <si>
    <t>Dólar namibio</t>
  </si>
  <si>
    <t>Naira</t>
  </si>
  <si>
    <t>Córdoba</t>
  </si>
  <si>
    <t>Corona noruega</t>
  </si>
  <si>
    <t>Rupia nepalí</t>
  </si>
  <si>
    <t>Rial omaní</t>
  </si>
  <si>
    <t>Balboa</t>
  </si>
  <si>
    <t>Sol</t>
  </si>
  <si>
    <t>Kina</t>
  </si>
  <si>
    <t>Peso filipino</t>
  </si>
  <si>
    <t>Rupia pakistaní</t>
  </si>
  <si>
    <t>Złoty</t>
  </si>
  <si>
    <t>Guaraní</t>
  </si>
  <si>
    <t>Riyal qatarí</t>
  </si>
  <si>
    <t>Leu rumano</t>
  </si>
  <si>
    <t>Dinar serbio</t>
  </si>
  <si>
    <t>Rublo ruso</t>
  </si>
  <si>
    <t>Franco ruandés</t>
  </si>
  <si>
    <t>Riyal saudí</t>
  </si>
  <si>
    <t>Dólar de las Islas Salomón</t>
  </si>
  <si>
    <t>Rupia seychelense</t>
  </si>
  <si>
    <t>Dinar sudanés</t>
  </si>
  <si>
    <t>Corona sueca</t>
  </si>
  <si>
    <t>Dólar de Singapur</t>
  </si>
  <si>
    <t>Libra de Santa Elena</t>
  </si>
  <si>
    <t>Leone</t>
  </si>
  <si>
    <t>Chelín somalí</t>
  </si>
  <si>
    <t>Dólar surinamés</t>
  </si>
  <si>
    <t>SSP</t>
  </si>
  <si>
    <t>Libra sursudanesa</t>
  </si>
  <si>
    <t>Dobra</t>
  </si>
  <si>
    <t>Colon Salvadoreño</t>
  </si>
  <si>
    <t>Libra siria</t>
  </si>
  <si>
    <t>Lilangeni</t>
  </si>
  <si>
    <t>Baht</t>
  </si>
  <si>
    <t>Somoni tayiko</t>
  </si>
  <si>
    <t>Manat turcomano</t>
  </si>
  <si>
    <t>Dinar tunecino</t>
  </si>
  <si>
    <t>Paʻanga</t>
  </si>
  <si>
    <t>Lira turca</t>
  </si>
  <si>
    <t>Dólar de Trinidad y Tobago</t>
  </si>
  <si>
    <t>Nuevo dólar taiwanés</t>
  </si>
  <si>
    <t>Chelín tanzano</t>
  </si>
  <si>
    <t>Grivna</t>
  </si>
  <si>
    <t>Chelín ugandés</t>
  </si>
  <si>
    <t>USN</t>
  </si>
  <si>
    <t>Dólar estadounidense (Siguiente día)</t>
  </si>
  <si>
    <t>UYI</t>
  </si>
  <si>
    <t>Peso en Unidades Indexadas (Uruguay)</t>
  </si>
  <si>
    <t>Peso uruguayo</t>
  </si>
  <si>
    <t>UYW</t>
  </si>
  <si>
    <t>Unidad Previsional</t>
  </si>
  <si>
    <t>Som uzbeko</t>
  </si>
  <si>
    <t>VES7​</t>
  </si>
  <si>
    <t>Bolívar soberano</t>
  </si>
  <si>
    <t>Dong vietnamita</t>
  </si>
  <si>
    <t>Vatu</t>
  </si>
  <si>
    <t>Tala</t>
  </si>
  <si>
    <t>Franco CFA de África Central</t>
  </si>
  <si>
    <t>XAG</t>
  </si>
  <si>
    <t>Plata (una onza troy)</t>
  </si>
  <si>
    <t>XAU</t>
  </si>
  <si>
    <t>Oro (una onza troy)</t>
  </si>
  <si>
    <t>XBA</t>
  </si>
  <si>
    <t>Unidad compuesta europea (EURCO) (Unidad del mercados de bonos)</t>
  </si>
  <si>
    <t>XBB</t>
  </si>
  <si>
    <t>Unidad Monetaria europea (E.M.U.-6) (Unidad del mercado de bonos)</t>
  </si>
  <si>
    <t>XBC</t>
  </si>
  <si>
    <t>Unidad europea de cuenta 9 (E.U.A.-9) (Unidad del mercado de bonos)</t>
  </si>
  <si>
    <t>XBD</t>
  </si>
  <si>
    <t>Unidad europea de cuenta 17 (E.U.A.-17) (Unidad del mercado de bonos)</t>
  </si>
  <si>
    <t>Dólar del Caribe Oriental</t>
  </si>
  <si>
    <t>Derechos especiales de giro</t>
  </si>
  <si>
    <t>Franco CFA de África Occidental</t>
  </si>
  <si>
    <t>XPD</t>
  </si>
  <si>
    <t>Paladio (una onza troy)</t>
  </si>
  <si>
    <t>Franco CFP</t>
  </si>
  <si>
    <t>XPT</t>
  </si>
  <si>
    <t>Platino (una onza troy)</t>
  </si>
  <si>
    <t>XSU</t>
  </si>
  <si>
    <t>SUCRE</t>
  </si>
  <si>
    <t>XTS</t>
  </si>
  <si>
    <t>Reservado para pruebas</t>
  </si>
  <si>
    <t>XUA</t>
  </si>
  <si>
    <t>Unidad de cuenta BAD</t>
  </si>
  <si>
    <t>XXX</t>
  </si>
  <si>
    <t>Sin divisa</t>
  </si>
  <si>
    <t>Rial yemení</t>
  </si>
  <si>
    <t>Rand</t>
  </si>
  <si>
    <t>Kwacha zambiano</t>
  </si>
  <si>
    <t>ZWL</t>
  </si>
  <si>
    <t>Dólar zimbabuense</t>
  </si>
  <si>
    <t>Fecha Presentación:</t>
  </si>
  <si>
    <t>No Corrientes</t>
  </si>
  <si>
    <t>Las cuentas por pagar comerciales se componen como sigue:</t>
  </si>
  <si>
    <t>Sociedad:</t>
  </si>
  <si>
    <t>Nombre de la entidad financiera</t>
  </si>
  <si>
    <t>Símbolo de Moneda</t>
  </si>
  <si>
    <t>Préstamos de Entidades en el Exterior</t>
  </si>
  <si>
    <t>Préstamos de Entidades Locales</t>
  </si>
  <si>
    <t>Intereses préstamos entidades financieras a pagar</t>
  </si>
  <si>
    <t>(-) Intereses a Devengar</t>
  </si>
  <si>
    <t xml:space="preserve">Otros Pasivos con Entidades relacionadas </t>
  </si>
  <si>
    <t>Importe (miles de Gs)</t>
  </si>
  <si>
    <t>Alquileres a Pagar</t>
  </si>
  <si>
    <t>Honorarios Profesionales a Pagar</t>
  </si>
  <si>
    <t>Servicios Basicos a Pagar</t>
  </si>
  <si>
    <t>Fecha</t>
  </si>
  <si>
    <t>Monto Capital Social</t>
  </si>
  <si>
    <t>Valor Nominal de Acciones</t>
  </si>
  <si>
    <t>Cantidad de Acciones</t>
  </si>
  <si>
    <t>Monto Capital Integrado</t>
  </si>
  <si>
    <t>d.1. (nuevas cuentas a incluir)</t>
  </si>
  <si>
    <t>d.2. (nuevas cuentas a incluir)</t>
  </si>
  <si>
    <t>(a) Equivalentes al tipo de cambio referencial de la fecha de presentacion</t>
  </si>
  <si>
    <t>NOTAS A LOS ESTADOS FINANCIEROS CORRESPONDIENTES AL PERIODO TERMINADO</t>
  </si>
  <si>
    <t xml:space="preserve">Presentadas en forma comparativa con el periodo terminado </t>
  </si>
  <si>
    <t>Ventas linea de negocio 1</t>
  </si>
  <si>
    <t>Ventas linea de negocio 2</t>
  </si>
  <si>
    <t>Local</t>
  </si>
  <si>
    <t>Exterior</t>
  </si>
  <si>
    <t>(nuevas lineas de negocio a incluir)</t>
  </si>
  <si>
    <t>Linea de negocio 1</t>
  </si>
  <si>
    <t>Linea de negocio 2</t>
  </si>
  <si>
    <t>Conceptos</t>
  </si>
  <si>
    <t>(Detallar)</t>
  </si>
  <si>
    <t>Utilidad Neta</t>
  </si>
  <si>
    <t>Cantidad de Acciones Ordinarias en Circulación</t>
  </si>
  <si>
    <t>Utilidad Neta por Acción Ordinaria</t>
  </si>
  <si>
    <t>Depreciación bienes de uso</t>
  </si>
  <si>
    <t>(nueva cuenta a incluir)</t>
  </si>
  <si>
    <t>ESTADO DE EVOLUCIÓN DEL PATRIMONIO NETO</t>
  </si>
  <si>
    <t>ESTADO DE FLUJOS DE EFECTIVO (Método directo)</t>
  </si>
  <si>
    <t>Composición de la cartera de créditos por ventas</t>
  </si>
  <si>
    <t>Total de la cartera de créditos (A+B)</t>
  </si>
  <si>
    <t>Monto</t>
  </si>
  <si>
    <t>TOTAL  NETO DE LA CARTERA DE CRÉDITOS</t>
  </si>
  <si>
    <t>De</t>
  </si>
  <si>
    <t>A</t>
  </si>
  <si>
    <t xml:space="preserve">% Previsiones  sobre Cartera </t>
  </si>
  <si>
    <t>Las cuentas a cobrar comerciales a corto plazo se integran como sigue:</t>
  </si>
  <si>
    <t>Las cuentas a cobrar comerciales a largo plazo se integran como sigue:</t>
  </si>
  <si>
    <t>ACTIVO</t>
  </si>
  <si>
    <t>Cuentas a cobrar comerciales</t>
  </si>
  <si>
    <t>Total activo</t>
  </si>
  <si>
    <t>PASIVO</t>
  </si>
  <si>
    <t>Préstamos a largo plazo</t>
  </si>
  <si>
    <t>Otros pasivos</t>
  </si>
  <si>
    <t>Total pasivo</t>
  </si>
  <si>
    <t>Compras a ….</t>
  </si>
  <si>
    <t>Honorarios por servicios</t>
  </si>
  <si>
    <t xml:space="preserve">Otros </t>
  </si>
  <si>
    <t xml:space="preserve">Gastos financieros </t>
  </si>
  <si>
    <t>Intereses pagados por préstamos</t>
  </si>
  <si>
    <t>NOTA 40 - SALDOS Y TRANSACCIONES CON PARTES RELACIONADAS</t>
  </si>
  <si>
    <t>Saldos y transacciones con partes relacionadas</t>
  </si>
  <si>
    <t>Nota 40</t>
  </si>
  <si>
    <t>&lt;-- Colocar Nombre de la Sociedad</t>
  </si>
  <si>
    <t>Índice</t>
  </si>
  <si>
    <r>
      <rPr>
        <b/>
        <sz val="11"/>
        <color indexed="8"/>
        <rFont val="Arial"/>
        <family val="2"/>
      </rPr>
      <t>"IMPORT CENTER S.A."</t>
    </r>
    <r>
      <rPr>
        <sz val="11"/>
        <color indexed="8"/>
        <rFont val="Arial"/>
        <family val="2"/>
      </rPr>
      <t>con RUC Nº 80021505-2 es una Entidad que fuera constituída  originalmente con la denomina-</t>
    </r>
  </si>
  <si>
    <r>
      <t xml:space="preserve">ción de </t>
    </r>
    <r>
      <rPr>
        <b/>
        <sz val="11"/>
        <color indexed="8"/>
        <rFont val="Arial"/>
        <family val="2"/>
      </rPr>
      <t xml:space="preserve">"CHE TAPYIRA S.R.L." </t>
    </r>
    <r>
      <rPr>
        <sz val="11"/>
        <color indexed="8"/>
        <rFont val="Arial"/>
        <family val="2"/>
      </rPr>
      <t xml:space="preserve">según consta en la Escriura Pública Nº 2 de fecha 10 de Enero de 1984, y de la cual se </t>
    </r>
  </si>
  <si>
    <t>Contratos el 24 de Enero de 1984.  Luego por Escritura Pública Nº 47 de fecha 11 de Mayo de 2000, los Estatutos Socia-</t>
  </si>
  <si>
    <t>dicas y Asociaciones, anotado bajo el Nº 352 Serie "B" al folio 3489, el 26 de Mayo de 2000.</t>
  </si>
  <si>
    <t>La Duración de la Sociedad será de 99 (noventa y nueve) años a contarse desde su inscripción en el Registro de Perso-</t>
  </si>
  <si>
    <t>Valores; y demás actividades detalladas en al Artículo 4ª de los Estatutos Sociales.</t>
  </si>
  <si>
    <r>
      <t xml:space="preserve">les fueron modificados por transformación de: </t>
    </r>
    <r>
      <rPr>
        <b/>
        <sz val="11"/>
        <color indexed="8"/>
        <rFont val="Arial"/>
        <family val="2"/>
      </rPr>
      <t>IMPORT CENTER S.R.L.</t>
    </r>
    <r>
      <rPr>
        <sz val="11"/>
        <color indexed="8"/>
        <rFont val="Arial"/>
        <family val="2"/>
      </rPr>
      <t xml:space="preserve"> a </t>
    </r>
    <r>
      <rPr>
        <b/>
        <sz val="11"/>
        <color indexed="8"/>
        <rFont val="Arial"/>
        <family val="2"/>
      </rPr>
      <t>IMPORT  CENTER S.A.</t>
    </r>
    <r>
      <rPr>
        <sz val="11"/>
        <color indexed="8"/>
        <rFont val="Arial"/>
        <family val="2"/>
      </rPr>
      <t xml:space="preserve">, de cuyo testimonio </t>
    </r>
  </si>
  <si>
    <t>se tomó razón en la Dirección General  de los Registros Públicos, Sección Registro Público de  Comercio,  anotado bajo</t>
  </si>
  <si>
    <t xml:space="preserve">tomó razón en la Dirección General de Registros Públicos de Comercio bajo el Nº 94, folio 22 y siguientes de la  Sección </t>
  </si>
  <si>
    <t>el Nº 491, Serie "A" al folio 3787 y siguientes, Sección Contratos, el 26 de Mayo  de 2000, y  en la Sección  Personas Juri-</t>
  </si>
  <si>
    <t>nas Jurídicas y Asociaciones y en el  Registro Público de  Comercio, de la Dirección  General de los Registros  Públicos.</t>
  </si>
  <si>
    <t>No obstante la Asamblea Extraordinaria de Accionistas puede prorrogar o reducir la duración, o disolver o liquidar  la So -</t>
  </si>
  <si>
    <t>ciedad cuando así lo resolviere de conformidad con las pertinentes  disposiciones de la Ley  y de los Estatutos  Sociales.</t>
  </si>
  <si>
    <t xml:space="preserve">La Empresa tiene como  objeto principal  la realización por  cuenta propia o  de terceros, o asociada con  terceros, en el </t>
  </si>
  <si>
    <t xml:space="preserve">país o en el extranjero, las siguientes  operaciones: a) COMERCIALES:  compra, venta al  por mayor y menor,  permuta, </t>
  </si>
  <si>
    <t>importación y representación de repuestos para motocicletas, bicicletas como así tambien repuestos  y  accesorios, cu -</t>
  </si>
  <si>
    <t xml:space="preserve">biertas para motos y  bicicletas y  equipos  de gimnasia;  b) INDUSTRIALES:  ensamble de bicicletas; c) MERCADO DE </t>
  </si>
  <si>
    <t xml:space="preserve">VALORES:  emitir títulos de deuda con o sin garantía para negociarlos en el mercado de valores a través de la  Bolsa de </t>
  </si>
  <si>
    <t>IMPORT CENTER S.A.</t>
  </si>
  <si>
    <t>ESTADOS CONTABLES</t>
  </si>
  <si>
    <t>Composición del Capital</t>
  </si>
  <si>
    <t>Acciones</t>
  </si>
  <si>
    <t>Suscripto</t>
  </si>
  <si>
    <t>Integrado</t>
  </si>
  <si>
    <t>Cantidad</t>
  </si>
  <si>
    <t>Votos</t>
  </si>
  <si>
    <t>Tipo</t>
  </si>
  <si>
    <t>G.</t>
  </si>
  <si>
    <t>Voto Múltiple</t>
  </si>
  <si>
    <t>Voto Simple</t>
  </si>
  <si>
    <t>en forma comparativa con el Ejercicio anterior.</t>
  </si>
  <si>
    <t>Domicilio legal: Avda. Rca. Argentina 1851 c/Avda. Eusebio Ayala. Asunción</t>
  </si>
  <si>
    <t>Actividad principal: Importaciones y Representaciones, Industrial</t>
  </si>
  <si>
    <t>Inscripción en el Registro Público de Comercio Nº 47 de los Estatutos Sociales  y sus modificaciones Nº 7, 1, 38, 14, 126 y 101.</t>
  </si>
  <si>
    <t>Inscripción en la Comisión Nacional de Valores: Res. N° 78E/13</t>
  </si>
  <si>
    <t>Inscripción en la Bolsa de Valores y Productos de Asunción Sociedad Anónima:  Resolución Nº 1234/14</t>
  </si>
  <si>
    <t>Fecha de vencimiento del Estatuto o Contrato Social: Año 2099.</t>
  </si>
  <si>
    <t>Retenciones IVA a Aplicar</t>
  </si>
  <si>
    <t>Retenc. Imp.a la Renta a Aplicar</t>
  </si>
  <si>
    <t>Anticipos al Personal</t>
  </si>
  <si>
    <t>Importaciones en Curso</t>
  </si>
  <si>
    <t>Inmuebles</t>
  </si>
  <si>
    <t>Edificios</t>
  </si>
  <si>
    <t>Cheques Emitidos en Diferido Regional</t>
  </si>
  <si>
    <t>Tarjera de Credito - Regional</t>
  </si>
  <si>
    <t>usd</t>
  </si>
  <si>
    <t>pyg</t>
  </si>
  <si>
    <t>NINGUNA</t>
  </si>
  <si>
    <t>BANCO REGIONAL</t>
  </si>
  <si>
    <t>BANCOP</t>
  </si>
  <si>
    <t xml:space="preserve">GNB </t>
  </si>
  <si>
    <t>SUDAMERIS</t>
  </si>
  <si>
    <t>PRESTAMOS PERSONALES</t>
  </si>
  <si>
    <t>LEONCIO CUTTIER</t>
  </si>
  <si>
    <t>DEUDAS BURSATILES</t>
  </si>
  <si>
    <t>PEG 2</t>
  </si>
  <si>
    <t>PEG 3</t>
  </si>
  <si>
    <t>SERIE 3</t>
  </si>
  <si>
    <t>SERIES 1, 2 Y 3</t>
  </si>
  <si>
    <t>SERIES 2 Y 3</t>
  </si>
  <si>
    <t>SERIES 3</t>
  </si>
  <si>
    <t>PGY</t>
  </si>
  <si>
    <t>Guarani</t>
  </si>
  <si>
    <t>ITAU</t>
  </si>
  <si>
    <t>REGIONAL</t>
  </si>
  <si>
    <t>Intereses a pagar Préstamos Personales</t>
  </si>
  <si>
    <t>Intereses a pagar Deudas Bursátiles</t>
  </si>
  <si>
    <t>(-) Intereses a Devengar Préstamos Personales</t>
  </si>
  <si>
    <t>Leoncio Cuttier</t>
  </si>
  <si>
    <t>(-) Intereses a Devengar Deudas Bursátiles</t>
  </si>
  <si>
    <t xml:space="preserve">Intereses a Pagar Préstamos Personales </t>
  </si>
  <si>
    <t>Intereses a Pagar Deudas Bursátiles</t>
  </si>
  <si>
    <t>(-) Intereses a Devengar Deudas Bancarias</t>
  </si>
  <si>
    <t>DEUDAS FINANCIERAS</t>
  </si>
  <si>
    <t>Intereses a pagar a Entidades Financieras</t>
  </si>
  <si>
    <t>Aguinaldos a Pagar</t>
  </si>
  <si>
    <t>IVA Débito Fiscal</t>
  </si>
  <si>
    <t>Diferencia de Cambio</t>
  </si>
  <si>
    <t>Intereses Cobrados</t>
  </si>
  <si>
    <t>Otros Ingresos</t>
  </si>
  <si>
    <t>Utilidad Vta.Bienes de Uso</t>
  </si>
  <si>
    <t>Intereses pagados a Bcos.</t>
  </si>
  <si>
    <t>Gastos Bancarios</t>
  </si>
  <si>
    <t>Intereses s/Bonos Emitidos</t>
  </si>
  <si>
    <t>Aumento de Capital Social</t>
  </si>
  <si>
    <t>Seguros a Vencer-CP</t>
  </si>
  <si>
    <t>Otros Gtos.a Vencer-CP</t>
  </si>
  <si>
    <t>Operaciones en Curso</t>
  </si>
  <si>
    <t>Obras en Curso</t>
  </si>
  <si>
    <t>Otros Gtos.a Vencer-LP</t>
  </si>
  <si>
    <t>TOTAL PRESTAMOS A CORTO PLAZO</t>
  </si>
  <si>
    <t>TOTAL PRESTAMOS A LARGO PLAZO</t>
  </si>
  <si>
    <t>- Devolución de Mercaderías</t>
  </si>
  <si>
    <t>Guaraníes</t>
  </si>
  <si>
    <t>Gs.</t>
  </si>
  <si>
    <r>
      <t xml:space="preserve">Denominación: </t>
    </r>
    <r>
      <rPr>
        <b/>
        <sz val="11"/>
        <rFont val="Arial"/>
        <family val="2"/>
      </rPr>
      <t>IMPORT CENTER S.A.</t>
    </r>
  </si>
  <si>
    <r>
      <t xml:space="preserve">Los estados financieros se han preparado siguiendo los criterios de las Normas de Información Financiera (NIF) emitidas por el Consejo de Contadores Públicos del Paraguay sobre la base de costos históricos, excepto para el caso de activos y pasivos en moneda extranjera  y las propiedades, planta y equipo según se explica en los </t>
    </r>
    <r>
      <rPr>
        <sz val="9"/>
        <rFont val="Arial"/>
        <family val="2"/>
      </rPr>
      <t>puntos c  y k</t>
    </r>
    <r>
      <rPr>
        <sz val="9"/>
        <color indexed="10"/>
        <rFont val="Arial"/>
        <family val="2"/>
      </rPr>
      <t xml:space="preserve">   </t>
    </r>
    <r>
      <rPr>
        <sz val="9"/>
        <color indexed="8"/>
        <rFont val="Arial"/>
        <family val="2"/>
      </rPr>
      <t xml:space="preserve">y no reconocen en forma integral los efectos de la inflación sobre la situación patrimonial y financiera de la sociedad, sobre los resultados de sus operaciones y los flujos de efectivo, en atención a que la corrección monetaria no constituye una práctica contable obligatoria en el Paraguay. 
</t>
    </r>
  </si>
  <si>
    <t>Los activos y pasivos en moneda extranjera se valúan a los tipos de cambio vigentes a la fecha de cierre del ejercicio/período.</t>
  </si>
  <si>
    <t>Las previsiones para cuentas de dudoso cobro se determinan al cierre de cada ejercicio y/o mensualmente sobre la base del estudio de la cartera de créditos realizado con el objeto de determinar la porción no recuperable de las cuentas a cobrar. Las previsiones para cuentas de dudoso cobro se determinan anualmente de acuerdo  política de constitución de previsiones.</t>
  </si>
  <si>
    <t xml:space="preserve">Las existencias se valúan a su costo de adquisición, sin exceder los valores netos de realización o reposición. </t>
  </si>
  <si>
    <t>El método de valuación para las salidas de mercaderías  es el precio promedio ponderado.</t>
  </si>
  <si>
    <t>Las propiedades, planta y equipo se exponen a su costo histórico ajustado por el coeficiente de revalúo emitido por la Autoridad Tributaria, menos la correspondiente depreciación acumulada.</t>
  </si>
  <si>
    <t>El incremento neto por la re-expresión (revalúo) se acredita a la respectiva reserva patrimonial, cuyo saldo puede ser utilizado únicamente para  aumentar el capital.</t>
  </si>
  <si>
    <t xml:space="preserve">La depreciación es calculada por el método de línea recta anualmente, conforme al valor residual y a los años de vida útil de cada bien. </t>
  </si>
  <si>
    <t>e. Previsión para cuentas de dudoso cobro/incobrables</t>
  </si>
  <si>
    <t>f. Inventarios</t>
  </si>
  <si>
    <t>g. Propiedades, planta y equipo</t>
  </si>
  <si>
    <t>h. Reconocimiento de ingresos y egresos</t>
  </si>
  <si>
    <t xml:space="preserve">El impuesto a la renta que se carga a los resultados del año/período se basa en la utilidad contable antes de este concepto, ajustada por las partidas que la ley incluye o excluye para la determinación de la utilidad gravable a la que se aplica la tasa legal vigente del impuesto y por el reconocimiento del cargo o el ingreso originado por la aplicación del impuesto diferido, si los hubiere. </t>
  </si>
  <si>
    <t>i. Impuesto a la renta</t>
  </si>
  <si>
    <t>IVA Crédito Fiscal</t>
  </si>
  <si>
    <t>Proveedores del Exterior</t>
  </si>
  <si>
    <t>GNB</t>
  </si>
  <si>
    <t>SERIE 2</t>
  </si>
  <si>
    <t>Retención IVA a Pagar</t>
  </si>
  <si>
    <t>Regional - Tarjeta de Crédito</t>
  </si>
  <si>
    <t>Cheques Diferidos Gs. - Regional</t>
  </si>
  <si>
    <t>Cheques Diferidos U$S. - Regional</t>
  </si>
  <si>
    <t>Pérdidas Robo</t>
  </si>
  <si>
    <t>Otros - Documentos a Cobrar</t>
  </si>
  <si>
    <t>Al 30 de Setiembre de 2021</t>
  </si>
  <si>
    <t>Con cifras comparativas al 31 de diciembre de 2020</t>
  </si>
  <si>
    <r>
      <t xml:space="preserve">Correspondiente  al  Ejercicio Nº 21  iniciado  el  </t>
    </r>
    <r>
      <rPr>
        <b/>
        <u val="single"/>
        <sz val="11"/>
        <color indexed="8"/>
        <rFont val="Calibri"/>
        <family val="2"/>
      </rPr>
      <t>1º de Enero del año 2021 al 31 de Diciembre de 2021</t>
    </r>
    <r>
      <rPr>
        <sz val="11"/>
        <color theme="1"/>
        <rFont val="Calibri"/>
        <family val="2"/>
      </rPr>
      <t>,   presentado</t>
    </r>
  </si>
  <si>
    <t>A la fecha de emisión de estos estados financieros, el tipo de cambio de la moneda extranjera es de 6.870,81 del Activo y 6.887,40 del Pasivo en U$S.</t>
  </si>
  <si>
    <t>(-) Total Previsiones del Ejercicio</t>
  </si>
  <si>
    <t>(-) Total Previsiones Acumuladas</t>
  </si>
  <si>
    <t>(43.233)</t>
  </si>
  <si>
    <t>PEG 3 SERIE 1</t>
  </si>
  <si>
    <t>SERIES  2 Y 3</t>
  </si>
  <si>
    <t>Entre la fecha de cierre del ejercicio y la fecha de preparación de estos estados financieros, no han ocurrido hechos significativos de carácter financiero o de otra índole que afecten la situación patrimonial o financiera o los resultados de la Sociedad al 31 de Diciembre de 2021.</t>
  </si>
  <si>
    <t>Distribución de dividendos s/Acta de Asamblea General Ordinaria N°28 de fecha 29/03/21.</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</si>
</sst>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 #,##0_ ;_ * \-#,##0_ ;_ * &quot;-&quot;_ ;_ @_ "/>
    <numFmt numFmtId="165" formatCode="_ * #,##0.00_ ;_ * \-#,##0.00_ ;_ * &quot;-&quot;??_ ;_ @_ "/>
    <numFmt numFmtId="166" formatCode="_(* #,##0.00_);_(* \(#,##0.00\);_(* &quot;-&quot;??_);_(@_)"/>
    <numFmt numFmtId="167" formatCode="_ * #,##0_ ;_ * \-#,##0_ ;_ * &quot;-&quot;??_ ;_ @_ "/>
    <numFmt numFmtId="168" formatCode="_-* #,##0_-;\-* #,##0_-;_-* &quot;-&quot;??_-;_-@_-"/>
    <numFmt numFmtId="169" formatCode="_(* #,##0_);_(* \(#,##0\);_(* &quot;-&quot;??_);_(@_)"/>
    <numFmt numFmtId="170" formatCode="dd/mm/yyyy;@"/>
    <numFmt numFmtId="171" formatCode="_ * #,##0.00_ ;_ * \-#,##0.00_ ;_ * &quot;-&quot;_ ;_ @_ "/>
    <numFmt numFmtId="172" formatCode="#,###,##0"/>
    <numFmt numFmtId="173" formatCode="_-* #,##0_-;\-* #,##0_-;_-* &quot;-&quot;_-;_-@_-"/>
    <numFmt numFmtId="174" formatCode="_-* #,##0.00_-;\-* #,##0.00_-;_-* &quot;-&quot;??_-;_-@_-"/>
    <numFmt numFmtId="175" formatCode="&quot;Sí&quot;;&quot;Sí&quot;;&quot;No&quot;"/>
    <numFmt numFmtId="176" formatCode="&quot;Verdadero&quot;;&quot;Verdadero&quot;;&quot;Falso&quot;"/>
    <numFmt numFmtId="177" formatCode="&quot;Activado&quot;;&quot;Activado&quot;;&quot;Desactivado&quot;"/>
    <numFmt numFmtId="178" formatCode="[$€-2]\ #,##0.00_);[Red]\([$€-2]\ #,##0.00\)"/>
    <numFmt numFmtId="179" formatCode="_-* #,##0\ _P_t_s_-;\-* #,##0\ _P_t_s_-;_-* &quot;-&quot;\ _P_t_s_-;_-@_-"/>
    <numFmt numFmtId="180" formatCode="#,##0;\(#,##0\)"/>
    <numFmt numFmtId="181" formatCode="[$-C0A]dddd\,\ dd&quot; de &quot;mmmm&quot; de &quot;yyyy"/>
  </numFmts>
  <fonts count="156">
    <font>
      <sz val="11"/>
      <color theme="1"/>
      <name val="Calibri"/>
      <family val="2"/>
    </font>
    <font>
      <sz val="11"/>
      <color indexed="8"/>
      <name val="Calibri"/>
      <family val="2"/>
    </font>
    <font>
      <sz val="10"/>
      <name val="Arial"/>
      <family val="2"/>
    </font>
    <font>
      <b/>
      <sz val="9"/>
      <name val="Arial"/>
      <family val="2"/>
    </font>
    <font>
      <b/>
      <sz val="10"/>
      <name val="Arial"/>
      <family val="2"/>
    </font>
    <font>
      <b/>
      <u val="single"/>
      <sz val="10"/>
      <name val="Arial"/>
      <family val="2"/>
    </font>
    <font>
      <b/>
      <sz val="8"/>
      <name val="Arial"/>
      <family val="2"/>
    </font>
    <font>
      <sz val="11"/>
      <name val="Arial"/>
      <family val="2"/>
    </font>
    <font>
      <b/>
      <sz val="12"/>
      <name val="Arial"/>
      <family val="2"/>
    </font>
    <font>
      <b/>
      <sz val="11"/>
      <name val="Arial"/>
      <family val="2"/>
    </font>
    <font>
      <sz val="10"/>
      <name val="Arial Black"/>
      <family val="2"/>
    </font>
    <font>
      <sz val="9"/>
      <name val="Arial"/>
      <family val="2"/>
    </font>
    <font>
      <sz val="8"/>
      <name val="Arial"/>
      <family val="2"/>
    </font>
    <font>
      <i/>
      <sz val="9"/>
      <name val="Arial"/>
      <family val="2"/>
    </font>
    <font>
      <sz val="11"/>
      <name val="Calibri"/>
      <family val="2"/>
    </font>
    <font>
      <b/>
      <sz val="11"/>
      <name val="Calibri"/>
      <family val="2"/>
    </font>
    <font>
      <i/>
      <sz val="9"/>
      <name val="Calibri"/>
      <family val="2"/>
    </font>
    <font>
      <sz val="9"/>
      <color indexed="8"/>
      <name val="Arial"/>
      <family val="2"/>
    </font>
    <font>
      <sz val="11"/>
      <color indexed="8"/>
      <name val="Arial"/>
      <family val="2"/>
    </font>
    <font>
      <sz val="9"/>
      <color indexed="10"/>
      <name val="Arial"/>
      <family val="2"/>
    </font>
    <font>
      <b/>
      <sz val="11"/>
      <color indexed="8"/>
      <name val="Arial"/>
      <family val="2"/>
    </font>
    <font>
      <sz val="12"/>
      <name val="Arial"/>
      <family val="2"/>
    </font>
    <font>
      <b/>
      <sz val="14"/>
      <name val="Arial"/>
      <family val="2"/>
    </font>
    <font>
      <b/>
      <u val="double"/>
      <sz val="11"/>
      <name val="Arial"/>
      <family val="2"/>
    </font>
    <font>
      <sz val="10"/>
      <name val="Geneva"/>
      <family val="0"/>
    </font>
    <font>
      <b/>
      <i/>
      <sz val="10"/>
      <name val="Times New Roman"/>
      <family val="1"/>
    </font>
    <font>
      <sz val="10"/>
      <name val="Times New Roman"/>
      <family val="1"/>
    </font>
    <font>
      <sz val="9"/>
      <name val="Geneva"/>
      <family val="0"/>
    </font>
    <font>
      <b/>
      <u val="single"/>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4"/>
      <name val="Calibri Light"/>
      <family val="2"/>
    </font>
    <font>
      <b/>
      <sz val="15"/>
      <color indexed="54"/>
      <name val="Calibri"/>
      <family val="2"/>
    </font>
    <font>
      <b/>
      <sz val="13"/>
      <color indexed="54"/>
      <name val="Calibri"/>
      <family val="2"/>
    </font>
    <font>
      <b/>
      <sz val="11"/>
      <color indexed="8"/>
      <name val="Calibri"/>
      <family val="2"/>
    </font>
    <font>
      <sz val="10"/>
      <color indexed="8"/>
      <name val="Arial"/>
      <family val="2"/>
    </font>
    <font>
      <b/>
      <sz val="10"/>
      <color indexed="8"/>
      <name val="Arial"/>
      <family val="2"/>
    </font>
    <font>
      <sz val="8"/>
      <color indexed="8"/>
      <name val="Arial"/>
      <family val="2"/>
    </font>
    <font>
      <sz val="10"/>
      <color indexed="9"/>
      <name val="Arial"/>
      <family val="2"/>
    </font>
    <font>
      <sz val="10"/>
      <color indexed="10"/>
      <name val="Arial"/>
      <family val="2"/>
    </font>
    <font>
      <sz val="12"/>
      <color indexed="8"/>
      <name val="Arial"/>
      <family val="2"/>
    </font>
    <font>
      <b/>
      <sz val="10"/>
      <color indexed="10"/>
      <name val="Arial"/>
      <family val="2"/>
    </font>
    <font>
      <sz val="12"/>
      <color indexed="9"/>
      <name val="Arial"/>
      <family val="2"/>
    </font>
    <font>
      <sz val="10"/>
      <color indexed="9"/>
      <name val="Arial Black"/>
      <family val="2"/>
    </font>
    <font>
      <b/>
      <sz val="10"/>
      <color indexed="9"/>
      <name val="Arial"/>
      <family val="2"/>
    </font>
    <font>
      <b/>
      <sz val="11"/>
      <color indexed="9"/>
      <name val="Arial Black"/>
      <family val="2"/>
    </font>
    <font>
      <sz val="8"/>
      <color indexed="10"/>
      <name val="Arial"/>
      <family val="2"/>
    </font>
    <font>
      <u val="single"/>
      <sz val="10"/>
      <color indexed="8"/>
      <name val="Arial"/>
      <family val="2"/>
    </font>
    <font>
      <sz val="9"/>
      <color indexed="9"/>
      <name val="Arial"/>
      <family val="2"/>
    </font>
    <font>
      <sz val="9"/>
      <name val="Calibri"/>
      <family val="2"/>
    </font>
    <font>
      <b/>
      <sz val="10"/>
      <color indexed="9"/>
      <name val="Arial Black"/>
      <family val="2"/>
    </font>
    <font>
      <sz val="10"/>
      <color indexed="8"/>
      <name val="Arial Black"/>
      <family val="2"/>
    </font>
    <font>
      <b/>
      <u val="singleAccounting"/>
      <sz val="10"/>
      <color indexed="9"/>
      <name val="Arial Black"/>
      <family val="2"/>
    </font>
    <font>
      <sz val="9"/>
      <color indexed="8"/>
      <name val="Book Antiqua"/>
      <family val="1"/>
    </font>
    <font>
      <sz val="10"/>
      <color indexed="8"/>
      <name val="Calibri"/>
      <family val="2"/>
    </font>
    <font>
      <u val="single"/>
      <sz val="10"/>
      <color indexed="30"/>
      <name val="Arial"/>
      <family val="2"/>
    </font>
    <font>
      <sz val="9"/>
      <color indexed="8"/>
      <name val="Calibri"/>
      <family val="2"/>
    </font>
    <font>
      <i/>
      <sz val="9"/>
      <color indexed="8"/>
      <name val="Calibri"/>
      <family val="2"/>
    </font>
    <font>
      <sz val="12"/>
      <color indexed="8"/>
      <name val="Book Antiqua"/>
      <family val="1"/>
    </font>
    <font>
      <sz val="12"/>
      <color indexed="8"/>
      <name val="Calibri"/>
      <family val="2"/>
    </font>
    <font>
      <b/>
      <sz val="12"/>
      <color indexed="9"/>
      <name val="Calibri"/>
      <family val="2"/>
    </font>
    <font>
      <sz val="12"/>
      <color indexed="9"/>
      <name val="Calibri"/>
      <family val="2"/>
    </font>
    <font>
      <sz val="9"/>
      <color indexed="62"/>
      <name val="Book Antiqua"/>
      <family val="1"/>
    </font>
    <font>
      <i/>
      <sz val="10"/>
      <color indexed="8"/>
      <name val="Arial"/>
      <family val="2"/>
    </font>
    <font>
      <b/>
      <sz val="11"/>
      <color indexed="9"/>
      <name val="Arial"/>
      <family val="2"/>
    </font>
    <font>
      <i/>
      <sz val="11"/>
      <color indexed="8"/>
      <name val="Calibri"/>
      <family val="2"/>
    </font>
    <font>
      <i/>
      <sz val="9"/>
      <color indexed="8"/>
      <name val="Arial"/>
      <family val="2"/>
    </font>
    <font>
      <i/>
      <sz val="11"/>
      <color indexed="8"/>
      <name val="Arial"/>
      <family val="2"/>
    </font>
    <font>
      <b/>
      <sz val="9"/>
      <color indexed="9"/>
      <name val="Arial"/>
      <family val="2"/>
    </font>
    <font>
      <b/>
      <sz val="8"/>
      <color indexed="8"/>
      <name val="Calibri"/>
      <family val="2"/>
    </font>
    <font>
      <b/>
      <i/>
      <sz val="11"/>
      <color indexed="8"/>
      <name val="Arial"/>
      <family val="2"/>
    </font>
    <font>
      <sz val="11"/>
      <color indexed="9"/>
      <name val="Arial"/>
      <family val="2"/>
    </font>
    <font>
      <sz val="11"/>
      <color indexed="10"/>
      <name val="Arial"/>
      <family val="2"/>
    </font>
    <font>
      <sz val="10"/>
      <name val="Calibri"/>
      <family val="2"/>
    </font>
    <font>
      <b/>
      <sz val="10"/>
      <name val="Calibri"/>
      <family val="2"/>
    </font>
    <font>
      <b/>
      <sz val="12"/>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sz val="11"/>
      <color rgb="FF0000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1"/>
      <name val="Calibri"/>
      <family val="2"/>
    </font>
    <font>
      <sz val="10"/>
      <color theme="1"/>
      <name val="Arial"/>
      <family val="2"/>
    </font>
    <font>
      <b/>
      <sz val="10"/>
      <color theme="1"/>
      <name val="Arial"/>
      <family val="2"/>
    </font>
    <font>
      <sz val="10"/>
      <color rgb="FF000000"/>
      <name val="Arial"/>
      <family val="2"/>
    </font>
    <font>
      <sz val="9"/>
      <color theme="1"/>
      <name val="Arial"/>
      <family val="2"/>
    </font>
    <font>
      <sz val="8"/>
      <color theme="1"/>
      <name val="Arial"/>
      <family val="2"/>
    </font>
    <font>
      <sz val="11"/>
      <color theme="1"/>
      <name val="Arial"/>
      <family val="2"/>
    </font>
    <font>
      <sz val="10"/>
      <color theme="0"/>
      <name val="Arial"/>
      <family val="2"/>
    </font>
    <font>
      <sz val="10"/>
      <color rgb="FFFF0000"/>
      <name val="Arial"/>
      <family val="2"/>
    </font>
    <font>
      <sz val="9"/>
      <color rgb="FFFF0000"/>
      <name val="Arial"/>
      <family val="2"/>
    </font>
    <font>
      <sz val="12"/>
      <color theme="1"/>
      <name val="Arial"/>
      <family val="2"/>
    </font>
    <font>
      <b/>
      <sz val="10"/>
      <color rgb="FFFF0000"/>
      <name val="Arial"/>
      <family val="2"/>
    </font>
    <font>
      <sz val="12"/>
      <color theme="0"/>
      <name val="Arial"/>
      <family val="2"/>
    </font>
    <font>
      <sz val="10"/>
      <color theme="0"/>
      <name val="Arial Black"/>
      <family val="2"/>
    </font>
    <font>
      <b/>
      <sz val="10"/>
      <color theme="0"/>
      <name val="Arial"/>
      <family val="2"/>
    </font>
    <font>
      <b/>
      <sz val="11"/>
      <color theme="0"/>
      <name val="Arial Black"/>
      <family val="2"/>
    </font>
    <font>
      <sz val="8"/>
      <color rgb="FFFF0000"/>
      <name val="Arial"/>
      <family val="2"/>
    </font>
    <font>
      <u val="single"/>
      <sz val="10"/>
      <color theme="1"/>
      <name val="Arial"/>
      <family val="2"/>
    </font>
    <font>
      <b/>
      <sz val="10"/>
      <color rgb="FF000000"/>
      <name val="Arial"/>
      <family val="2"/>
    </font>
    <font>
      <sz val="9"/>
      <color rgb="FFFFFFFF"/>
      <name val="Arial"/>
      <family val="2"/>
    </font>
    <font>
      <b/>
      <sz val="10"/>
      <color theme="0"/>
      <name val="Arial Black"/>
      <family val="2"/>
    </font>
    <font>
      <sz val="10"/>
      <color theme="1"/>
      <name val="Arial Black"/>
      <family val="2"/>
    </font>
    <font>
      <b/>
      <u val="singleAccounting"/>
      <sz val="10"/>
      <color theme="0"/>
      <name val="Arial Black"/>
      <family val="2"/>
    </font>
    <font>
      <sz val="9"/>
      <color theme="1"/>
      <name val="Book Antiqua"/>
      <family val="1"/>
    </font>
    <font>
      <sz val="10"/>
      <color theme="1"/>
      <name val="Calibri"/>
      <family val="2"/>
    </font>
    <font>
      <u val="single"/>
      <sz val="10"/>
      <color theme="10"/>
      <name val="Arial"/>
      <family val="2"/>
    </font>
    <font>
      <sz val="9"/>
      <color theme="1"/>
      <name val="Calibri"/>
      <family val="2"/>
    </font>
    <font>
      <i/>
      <sz val="9"/>
      <color theme="1"/>
      <name val="Calibri"/>
      <family val="2"/>
    </font>
    <font>
      <sz val="12"/>
      <color theme="1"/>
      <name val="Book Antiqua"/>
      <family val="1"/>
    </font>
    <font>
      <sz val="12"/>
      <color theme="1"/>
      <name val="Calibri"/>
      <family val="2"/>
    </font>
    <font>
      <b/>
      <sz val="12"/>
      <color theme="0"/>
      <name val="Calibri"/>
      <family val="2"/>
    </font>
    <font>
      <sz val="12"/>
      <color theme="0"/>
      <name val="Calibri"/>
      <family val="2"/>
    </font>
    <font>
      <sz val="11"/>
      <color theme="4"/>
      <name val="Calibri"/>
      <family val="2"/>
    </font>
    <font>
      <sz val="9"/>
      <color theme="4"/>
      <name val="Book Antiqua"/>
      <family val="1"/>
    </font>
    <font>
      <i/>
      <sz val="10"/>
      <color theme="1"/>
      <name val="Arial"/>
      <family val="2"/>
    </font>
    <font>
      <b/>
      <sz val="11"/>
      <color theme="0"/>
      <name val="Arial"/>
      <family val="2"/>
    </font>
    <font>
      <i/>
      <sz val="11"/>
      <color theme="1"/>
      <name val="Calibri"/>
      <family val="2"/>
    </font>
    <font>
      <sz val="9"/>
      <color rgb="FF000000"/>
      <name val="Arial"/>
      <family val="2"/>
    </font>
    <font>
      <i/>
      <sz val="9"/>
      <color rgb="FF000000"/>
      <name val="Arial"/>
      <family val="2"/>
    </font>
    <font>
      <i/>
      <sz val="11"/>
      <color theme="1"/>
      <name val="Arial"/>
      <family val="2"/>
    </font>
    <font>
      <b/>
      <sz val="9"/>
      <color rgb="FFFFFFFF"/>
      <name val="Arial"/>
      <family val="2"/>
    </font>
    <font>
      <b/>
      <sz val="9"/>
      <color theme="0"/>
      <name val="Arial"/>
      <family val="2"/>
    </font>
    <font>
      <b/>
      <sz val="10"/>
      <color rgb="FFFFFFFF"/>
      <name val="Arial"/>
      <family val="2"/>
    </font>
    <font>
      <b/>
      <sz val="11"/>
      <color theme="1"/>
      <name val="Arial"/>
      <family val="2"/>
    </font>
    <font>
      <b/>
      <sz val="8"/>
      <color theme="1"/>
      <name val="Calibri"/>
      <family val="2"/>
    </font>
    <font>
      <b/>
      <sz val="11"/>
      <color rgb="FF000000"/>
      <name val="Calibri"/>
      <family val="2"/>
    </font>
    <font>
      <b/>
      <i/>
      <sz val="11"/>
      <color theme="1"/>
      <name val="Arial"/>
      <family val="2"/>
    </font>
    <font>
      <sz val="11"/>
      <color theme="0"/>
      <name val="Arial"/>
      <family val="2"/>
    </font>
    <font>
      <sz val="11"/>
      <color rgb="FFFF0000"/>
      <name val="Arial"/>
      <family val="2"/>
    </font>
    <font>
      <b/>
      <sz val="12"/>
      <color theme="1"/>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C000"/>
        <bgColor indexed="64"/>
      </patternFill>
    </fill>
    <fill>
      <patternFill patternType="solid">
        <fgColor theme="4" tint="-0.4999699890613556"/>
        <bgColor indexed="64"/>
      </patternFill>
    </fill>
    <fill>
      <patternFill patternType="solid">
        <fgColor theme="4" tint="-0.24997000396251678"/>
        <bgColor indexed="64"/>
      </patternFill>
    </fill>
    <fill>
      <patternFill patternType="solid">
        <fgColor rgb="FFA6A6A6"/>
        <bgColor indexed="64"/>
      </patternFill>
    </fill>
    <fill>
      <patternFill patternType="solid">
        <fgColor indexed="65"/>
        <bgColor indexed="64"/>
      </patternFill>
    </fill>
    <fill>
      <patternFill patternType="solid">
        <fgColor theme="0"/>
        <bgColor indexed="64"/>
      </patternFill>
    </fill>
    <fill>
      <patternFill patternType="solid">
        <fgColor theme="4" tint="-0.4999699890613556"/>
        <bgColor indexed="64"/>
      </patternFill>
    </fill>
    <fill>
      <patternFill patternType="solid">
        <fgColor rgb="FFFFFFFF"/>
        <bgColor indexed="64"/>
      </patternFill>
    </fill>
    <fill>
      <patternFill patternType="solid">
        <fgColor rgb="FF203764"/>
        <bgColor indexed="64"/>
      </patternFill>
    </fill>
  </fills>
  <borders count="6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bottom style="thin"/>
    </border>
    <border>
      <left/>
      <right/>
      <top/>
      <bottom style="double"/>
    </border>
    <border>
      <left/>
      <right/>
      <top style="thin"/>
      <bottom style="double"/>
    </border>
    <border>
      <left style="thin"/>
      <right/>
      <top/>
      <bottom/>
    </border>
    <border>
      <left/>
      <right style="thin"/>
      <top/>
      <bottom/>
    </border>
    <border>
      <left style="thin"/>
      <right/>
      <top/>
      <bottom style="thin"/>
    </border>
    <border>
      <left/>
      <right style="thin"/>
      <top/>
      <bottom style="thin"/>
    </border>
    <border>
      <left/>
      <right/>
      <top style="thin"/>
      <bottom style="thin"/>
    </border>
    <border>
      <left/>
      <right/>
      <top style="thin"/>
      <bottom/>
    </border>
    <border>
      <left style="thin"/>
      <right style="thin"/>
      <top/>
      <bottom/>
    </border>
    <border>
      <left style="medium"/>
      <right style="medium"/>
      <top style="medium"/>
      <bottom style="medium"/>
    </border>
    <border>
      <left/>
      <right style="medium"/>
      <top style="medium"/>
      <bottom style="medium"/>
    </border>
    <border>
      <left style="medium"/>
      <right style="thin"/>
      <top style="medium"/>
      <bottom style="hair"/>
    </border>
    <border>
      <left style="thin"/>
      <right style="thin"/>
      <top style="medium"/>
      <bottom style="hair"/>
    </border>
    <border>
      <left style="thin"/>
      <right style="medium"/>
      <top style="medium"/>
      <bottom style="hair"/>
    </border>
    <border>
      <left style="medium"/>
      <right style="thin"/>
      <top style="hair"/>
      <bottom style="hair"/>
    </border>
    <border>
      <left style="thin"/>
      <right style="thin"/>
      <top style="hair"/>
      <bottom style="hair"/>
    </border>
    <border>
      <left style="thin"/>
      <right style="medium"/>
      <top style="hair"/>
      <bottom style="hair"/>
    </border>
    <border>
      <left style="medium"/>
      <right style="thin"/>
      <top style="hair"/>
      <bottom style="medium"/>
    </border>
    <border>
      <left style="thin"/>
      <right style="thin"/>
      <top style="hair"/>
      <bottom style="medium"/>
    </border>
    <border>
      <left style="thin"/>
      <right style="medium"/>
      <top style="hair"/>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thin"/>
      <top style="thin"/>
      <bottom/>
    </border>
    <border>
      <left style="thin"/>
      <right/>
      <top style="thin"/>
      <bottom/>
    </border>
    <border>
      <left/>
      <right style="thin"/>
      <top style="thin"/>
      <bottom/>
    </border>
    <border>
      <left style="medium"/>
      <right style="medium"/>
      <top style="thin"/>
      <bottom/>
    </border>
    <border>
      <left/>
      <right style="thin"/>
      <top style="thin"/>
      <bottom style="thin"/>
    </border>
    <border>
      <left style="thin"/>
      <right style="thin"/>
      <top/>
      <bottom style="thin"/>
    </border>
    <border>
      <left/>
      <right/>
      <top style="thin">
        <color rgb="FFFFFFFF"/>
      </top>
      <bottom/>
    </border>
    <border>
      <left style="thin">
        <color rgb="FFFFFFFF"/>
      </left>
      <right style="thin">
        <color rgb="FFFFFFFF"/>
      </right>
      <top style="thin">
        <color rgb="FFFFFFFF"/>
      </top>
      <bottom/>
    </border>
    <border>
      <left style="thin">
        <color rgb="FFFFFFFF"/>
      </left>
      <right/>
      <top style="thin">
        <color rgb="FFFFFFFF"/>
      </top>
      <bottom style="thin">
        <color rgb="FFFFFFFF"/>
      </bottom>
    </border>
    <border>
      <left/>
      <right style="thin">
        <color rgb="FFFFFFFF"/>
      </right>
      <top style="thin">
        <color rgb="FFFFFFFF"/>
      </top>
      <bottom/>
    </border>
    <border>
      <left style="thin">
        <color rgb="FFFFFFFF"/>
      </left>
      <right style="thin">
        <color rgb="FFFFFFFF"/>
      </right>
      <top/>
      <bottom/>
    </border>
    <border>
      <left/>
      <right style="thin">
        <color rgb="FFFFFFFF"/>
      </right>
      <top style="thin">
        <color rgb="FFFFFFFF"/>
      </top>
      <bottom style="thin">
        <color rgb="FFFFFFFF"/>
      </bottom>
    </border>
    <border>
      <left style="thin">
        <color rgb="FFFFFFFF"/>
      </left>
      <right/>
      <top style="thin">
        <color rgb="FFFFFFFF"/>
      </top>
      <bottom style="thin"/>
    </border>
    <border>
      <left style="thin">
        <color theme="0"/>
      </left>
      <right style="thin">
        <color theme="0"/>
      </right>
      <top style="thin">
        <color rgb="FFFFFFFF"/>
      </top>
      <bottom style="thin">
        <color theme="0"/>
      </bottom>
    </border>
    <border>
      <left style="medium">
        <color theme="0"/>
      </left>
      <right style="medium">
        <color theme="0"/>
      </right>
      <top style="medium">
        <color theme="0"/>
      </top>
      <bottom style="medium">
        <color theme="0"/>
      </bottom>
    </border>
    <border>
      <left style="medium">
        <color theme="0"/>
      </left>
      <right/>
      <top style="medium">
        <color theme="0"/>
      </top>
      <bottom/>
    </border>
    <border>
      <left/>
      <right/>
      <top style="medium">
        <color theme="0"/>
      </top>
      <bottom/>
    </border>
    <border>
      <left/>
      <right style="medium">
        <color theme="0"/>
      </right>
      <top style="medium">
        <color theme="0"/>
      </top>
      <bottom/>
    </border>
    <border>
      <left style="medium">
        <color theme="0"/>
      </left>
      <right/>
      <top style="medium">
        <color theme="0"/>
      </top>
      <bottom style="medium">
        <color theme="0"/>
      </bottom>
    </border>
    <border>
      <left/>
      <right/>
      <top/>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thin"/>
    </border>
    <border>
      <left/>
      <right style="medium"/>
      <top/>
      <bottom style="thin"/>
    </border>
    <border>
      <left style="medium"/>
      <right/>
      <top/>
      <bottom style="medium"/>
    </border>
    <border>
      <left/>
      <right style="medium"/>
      <top/>
      <bottom style="medium"/>
    </border>
    <border>
      <left/>
      <right style="medium"/>
      <top style="thin"/>
      <bottom style="thin"/>
    </border>
    <border>
      <left/>
      <right style="medium"/>
      <top style="thin"/>
      <bottom/>
    </border>
    <border>
      <left/>
      <right style="medium"/>
      <top style="thin"/>
      <bottom style="medium"/>
    </border>
    <border>
      <left style="medium"/>
      <right/>
      <top style="thin"/>
      <bottom/>
    </border>
  </borders>
  <cellStyleXfs count="14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8" fillId="14" borderId="0" applyNumberFormat="0" applyBorder="0" applyAlignment="0" applyProtection="0"/>
    <xf numFmtId="0" fontId="88" fillId="15" borderId="0" applyNumberFormat="0" applyBorder="0" applyAlignment="0" applyProtection="0"/>
    <xf numFmtId="0" fontId="88" fillId="16" borderId="0" applyNumberFormat="0" applyBorder="0" applyAlignment="0" applyProtection="0"/>
    <xf numFmtId="0" fontId="88" fillId="17" borderId="0" applyNumberFormat="0" applyBorder="0" applyAlignment="0" applyProtection="0"/>
    <xf numFmtId="0" fontId="88" fillId="18" borderId="0" applyNumberFormat="0" applyBorder="0" applyAlignment="0" applyProtection="0"/>
    <xf numFmtId="0" fontId="88" fillId="19" borderId="0" applyNumberFormat="0" applyBorder="0" applyAlignment="0" applyProtection="0"/>
    <xf numFmtId="0" fontId="89" fillId="20" borderId="0" applyNumberFormat="0" applyBorder="0" applyAlignment="0" applyProtection="0"/>
    <xf numFmtId="0" fontId="90" fillId="21" borderId="1" applyNumberFormat="0" applyAlignment="0" applyProtection="0"/>
    <xf numFmtId="0" fontId="91" fillId="22" borderId="2" applyNumberFormat="0" applyAlignment="0" applyProtection="0"/>
    <xf numFmtId="0" fontId="92" fillId="0" borderId="3" applyNumberFormat="0" applyFill="0" applyAlignment="0" applyProtection="0"/>
    <xf numFmtId="166" fontId="2" fillId="0" borderId="0" applyFont="0" applyFill="0" applyBorder="0" applyAlignment="0" applyProtection="0"/>
    <xf numFmtId="0" fontId="93" fillId="0" borderId="0" applyNumberFormat="0" applyFill="0" applyBorder="0" applyAlignment="0" applyProtection="0"/>
    <xf numFmtId="0" fontId="88" fillId="23" borderId="0" applyNumberFormat="0" applyBorder="0" applyAlignment="0" applyProtection="0"/>
    <xf numFmtId="0" fontId="88" fillId="24" borderId="0" applyNumberFormat="0" applyBorder="0" applyAlignment="0" applyProtection="0"/>
    <xf numFmtId="0" fontId="88" fillId="25" borderId="0" applyNumberFormat="0" applyBorder="0" applyAlignment="0" applyProtection="0"/>
    <xf numFmtId="0" fontId="88" fillId="26" borderId="0" applyNumberFormat="0" applyBorder="0" applyAlignment="0" applyProtection="0"/>
    <xf numFmtId="0" fontId="88" fillId="27" borderId="0" applyNumberFormat="0" applyBorder="0" applyAlignment="0" applyProtection="0"/>
    <xf numFmtId="0" fontId="88" fillId="28" borderId="0" applyNumberFormat="0" applyBorder="0" applyAlignment="0" applyProtection="0"/>
    <xf numFmtId="0" fontId="94" fillId="29" borderId="1" applyNumberFormat="0" applyAlignment="0" applyProtection="0"/>
    <xf numFmtId="0" fontId="95" fillId="0" borderId="0" applyNumberFormat="0" applyFill="0" applyBorder="0" applyAlignment="0" applyProtection="0"/>
    <xf numFmtId="0" fontId="96" fillId="0" borderId="0" applyNumberFormat="0" applyFill="0" applyBorder="0" applyAlignment="0" applyProtection="0"/>
    <xf numFmtId="0" fontId="97" fillId="30"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173"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2" fillId="0" borderId="0" applyFont="0" applyFill="0" applyBorder="0" applyAlignment="0" applyProtection="0"/>
    <xf numFmtId="166" fontId="2" fillId="0" borderId="0" applyFont="0" applyFill="0" applyBorder="0" applyAlignment="0" applyProtection="0"/>
    <xf numFmtId="174" fontId="0"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8" fillId="31" borderId="0" applyNumberFormat="0" applyBorder="0" applyAlignment="0" applyProtection="0"/>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9"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99" fillId="0" borderId="0">
      <alignment/>
      <protection/>
    </xf>
    <xf numFmtId="0" fontId="2" fillId="0" borderId="0" applyNumberFormat="0" applyFill="0" applyBorder="0" applyAlignment="0" applyProtection="0"/>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0" borderId="0">
      <alignment/>
      <protection/>
    </xf>
    <xf numFmtId="0" fontId="0" fillId="32" borderId="4" applyNumberFormat="0" applyFont="0" applyAlignment="0" applyProtection="0"/>
    <xf numFmtId="9" fontId="0" fillId="0" borderId="0" applyFont="0" applyFill="0" applyBorder="0" applyAlignment="0" applyProtection="0"/>
    <xf numFmtId="0" fontId="100" fillId="21" borderId="5" applyNumberFormat="0" applyAlignment="0" applyProtection="0"/>
    <xf numFmtId="0" fontId="101" fillId="0" borderId="0" applyNumberFormat="0" applyFill="0" applyBorder="0" applyAlignment="0" applyProtection="0"/>
    <xf numFmtId="0" fontId="102" fillId="0" borderId="0" applyNumberFormat="0" applyFill="0" applyBorder="0" applyAlignment="0" applyProtection="0"/>
    <xf numFmtId="0" fontId="103" fillId="0" borderId="0" applyNumberFormat="0" applyFill="0" applyBorder="0" applyAlignment="0" applyProtection="0"/>
    <xf numFmtId="0" fontId="104" fillId="0" borderId="6" applyNumberFormat="0" applyFill="0" applyAlignment="0" applyProtection="0"/>
    <xf numFmtId="0" fontId="105" fillId="0" borderId="7" applyNumberFormat="0" applyFill="0" applyAlignment="0" applyProtection="0"/>
    <xf numFmtId="0" fontId="93" fillId="0" borderId="8" applyNumberFormat="0" applyFill="0" applyAlignment="0" applyProtection="0"/>
    <xf numFmtId="0" fontId="106" fillId="0" borderId="9" applyNumberFormat="0" applyFill="0" applyAlignment="0" applyProtection="0"/>
  </cellStyleXfs>
  <cellXfs count="770">
    <xf numFmtId="0" fontId="0" fillId="0" borderId="0" xfId="0" applyFont="1" applyAlignment="1">
      <alignment/>
    </xf>
    <xf numFmtId="0" fontId="107" fillId="0" borderId="0" xfId="0" applyFont="1" applyAlignment="1">
      <alignment vertical="center"/>
    </xf>
    <xf numFmtId="0" fontId="107" fillId="0" borderId="0" xfId="0" applyFont="1" applyAlignment="1">
      <alignment/>
    </xf>
    <xf numFmtId="0" fontId="108" fillId="0" borderId="0" xfId="0" applyFont="1" applyAlignment="1">
      <alignment vertical="center"/>
    </xf>
    <xf numFmtId="0" fontId="109" fillId="0" borderId="0" xfId="0" applyFont="1" applyAlignment="1">
      <alignment vertical="center"/>
    </xf>
    <xf numFmtId="0" fontId="110" fillId="33" borderId="0" xfId="0" applyFont="1" applyFill="1" applyAlignment="1">
      <alignment/>
    </xf>
    <xf numFmtId="0" fontId="108" fillId="33" borderId="10" xfId="0" applyFont="1" applyFill="1" applyBorder="1" applyAlignment="1">
      <alignment/>
    </xf>
    <xf numFmtId="168" fontId="107" fillId="33" borderId="10" xfId="49" applyNumberFormat="1" applyFont="1" applyFill="1" applyBorder="1" applyAlignment="1">
      <alignment/>
    </xf>
    <xf numFmtId="169" fontId="2" fillId="33" borderId="10" xfId="49" applyNumberFormat="1" applyFont="1" applyFill="1" applyBorder="1" applyAlignment="1">
      <alignment/>
    </xf>
    <xf numFmtId="169" fontId="2" fillId="33" borderId="0" xfId="49" applyNumberFormat="1" applyFont="1" applyFill="1" applyAlignment="1">
      <alignment/>
    </xf>
    <xf numFmtId="0" fontId="107" fillId="33" borderId="11" xfId="0" applyFont="1" applyFill="1" applyBorder="1" applyAlignment="1">
      <alignment/>
    </xf>
    <xf numFmtId="0" fontId="107" fillId="33" borderId="0" xfId="0" applyFont="1" applyFill="1" applyAlignment="1">
      <alignment/>
    </xf>
    <xf numFmtId="0" fontId="107" fillId="0" borderId="0" xfId="0" applyFont="1" applyAlignment="1">
      <alignment horizontal="left" vertical="top" wrapText="1"/>
    </xf>
    <xf numFmtId="0" fontId="108" fillId="33" borderId="0" xfId="0" applyFont="1" applyFill="1" applyAlignment="1">
      <alignment/>
    </xf>
    <xf numFmtId="0" fontId="4" fillId="33" borderId="12" xfId="76" applyFont="1" applyFill="1" applyBorder="1" applyAlignment="1">
      <alignment horizontal="left"/>
      <protection/>
    </xf>
    <xf numFmtId="0" fontId="4" fillId="33" borderId="0" xfId="76" applyFont="1" applyFill="1" applyAlignment="1">
      <alignment horizontal="center"/>
      <protection/>
    </xf>
    <xf numFmtId="0" fontId="107" fillId="33" borderId="0" xfId="0" applyFont="1" applyFill="1" applyBorder="1" applyAlignment="1">
      <alignment/>
    </xf>
    <xf numFmtId="169" fontId="4" fillId="33" borderId="13" xfId="49" applyNumberFormat="1" applyFont="1" applyFill="1" applyBorder="1" applyAlignment="1">
      <alignment/>
    </xf>
    <xf numFmtId="167" fontId="4" fillId="33" borderId="0" xfId="56" applyNumberFormat="1" applyFont="1" applyFill="1" applyBorder="1" applyAlignment="1">
      <alignment/>
    </xf>
    <xf numFmtId="167" fontId="107" fillId="33" borderId="0" xfId="0" applyNumberFormat="1" applyFont="1" applyFill="1" applyAlignment="1">
      <alignment/>
    </xf>
    <xf numFmtId="167" fontId="2" fillId="33" borderId="0" xfId="56" applyNumberFormat="1" applyFont="1" applyFill="1" applyAlignment="1">
      <alignment/>
    </xf>
    <xf numFmtId="0" fontId="108" fillId="0" borderId="0" xfId="0" applyFont="1" applyAlignment="1">
      <alignment/>
    </xf>
    <xf numFmtId="3" fontId="107" fillId="33" borderId="0" xfId="0" applyNumberFormat="1" applyFont="1" applyFill="1" applyAlignment="1">
      <alignment/>
    </xf>
    <xf numFmtId="167" fontId="4" fillId="33" borderId="14" xfId="56" applyNumberFormat="1" applyFont="1" applyFill="1" applyBorder="1" applyAlignment="1">
      <alignment/>
    </xf>
    <xf numFmtId="0" fontId="2" fillId="33" borderId="0" xfId="76" applyFont="1" applyFill="1" applyBorder="1" applyAlignment="1">
      <alignment horizontal="left"/>
      <protection/>
    </xf>
    <xf numFmtId="164" fontId="4" fillId="33" borderId="14" xfId="50" applyFont="1" applyFill="1" applyBorder="1" applyAlignment="1">
      <alignment/>
    </xf>
    <xf numFmtId="0" fontId="111" fillId="0" borderId="0" xfId="0" applyFont="1" applyAlignment="1">
      <alignment vertical="center"/>
    </xf>
    <xf numFmtId="164" fontId="107" fillId="33" borderId="0" xfId="50" applyFont="1" applyFill="1" applyAlignment="1">
      <alignment/>
    </xf>
    <xf numFmtId="14" fontId="4" fillId="33" borderId="0" xfId="76" applyNumberFormat="1" applyFont="1" applyFill="1" applyAlignment="1" quotePrefix="1">
      <alignment horizontal="center"/>
      <protection/>
    </xf>
    <xf numFmtId="169" fontId="2" fillId="33" borderId="0" xfId="52" applyNumberFormat="1" applyFont="1" applyFill="1" applyAlignment="1">
      <alignment/>
    </xf>
    <xf numFmtId="164" fontId="108" fillId="33" borderId="14" xfId="0" applyNumberFormat="1" applyFont="1" applyFill="1" applyBorder="1" applyAlignment="1">
      <alignment/>
    </xf>
    <xf numFmtId="0" fontId="4" fillId="33" borderId="12" xfId="77" applyFont="1" applyFill="1" applyBorder="1" applyAlignment="1">
      <alignment horizontal="left"/>
      <protection/>
    </xf>
    <xf numFmtId="0" fontId="2" fillId="33" borderId="0" xfId="0" applyFont="1" applyFill="1" applyAlignment="1">
      <alignment/>
    </xf>
    <xf numFmtId="0" fontId="4" fillId="33" borderId="0" xfId="77" applyFont="1" applyFill="1">
      <alignment/>
      <protection/>
    </xf>
    <xf numFmtId="0" fontId="0" fillId="33" borderId="0" xfId="0" applyFill="1" applyAlignment="1">
      <alignment/>
    </xf>
    <xf numFmtId="0" fontId="4" fillId="0" borderId="0" xfId="0" applyFont="1" applyAlignment="1">
      <alignment/>
    </xf>
    <xf numFmtId="0" fontId="2" fillId="0" borderId="0" xfId="0" applyFont="1" applyFill="1" applyAlignment="1">
      <alignment/>
    </xf>
    <xf numFmtId="0" fontId="107" fillId="0" borderId="0" xfId="0" applyFont="1" applyBorder="1" applyAlignment="1">
      <alignment vertical="center"/>
    </xf>
    <xf numFmtId="0" fontId="112" fillId="0" borderId="0" xfId="0" applyFont="1" applyAlignment="1">
      <alignment/>
    </xf>
    <xf numFmtId="0" fontId="112" fillId="0" borderId="15" xfId="0" applyFont="1" applyBorder="1" applyAlignment="1">
      <alignment/>
    </xf>
    <xf numFmtId="0" fontId="112" fillId="0" borderId="0" xfId="0" applyFont="1" applyBorder="1" applyAlignment="1">
      <alignment/>
    </xf>
    <xf numFmtId="0" fontId="112" fillId="0" borderId="16" xfId="0" applyFont="1" applyBorder="1" applyAlignment="1">
      <alignment/>
    </xf>
    <xf numFmtId="0" fontId="112" fillId="0" borderId="17" xfId="0" applyFont="1" applyBorder="1" applyAlignment="1">
      <alignment/>
    </xf>
    <xf numFmtId="0" fontId="112" fillId="0" borderId="12" xfId="0" applyFont="1" applyBorder="1" applyAlignment="1">
      <alignment/>
    </xf>
    <xf numFmtId="0" fontId="112" fillId="0" borderId="18" xfId="0" applyFont="1" applyBorder="1" applyAlignment="1">
      <alignment/>
    </xf>
    <xf numFmtId="0" fontId="107" fillId="0" borderId="0" xfId="0" applyFont="1" applyBorder="1" applyAlignment="1">
      <alignment/>
    </xf>
    <xf numFmtId="0" fontId="107" fillId="34" borderId="0" xfId="0" applyFont="1" applyFill="1" applyAlignment="1">
      <alignment/>
    </xf>
    <xf numFmtId="0" fontId="108" fillId="0" borderId="0" xfId="0" applyFont="1" applyBorder="1" applyAlignment="1">
      <alignment horizontal="center"/>
    </xf>
    <xf numFmtId="0" fontId="107" fillId="0" borderId="0" xfId="0" applyFont="1" applyFill="1" applyAlignment="1">
      <alignment/>
    </xf>
    <xf numFmtId="0" fontId="4" fillId="33" borderId="12" xfId="81" applyFont="1" applyFill="1" applyBorder="1" applyAlignment="1">
      <alignment horizontal="left"/>
    </xf>
    <xf numFmtId="0" fontId="5" fillId="33" borderId="0" xfId="81" applyFont="1" applyFill="1" applyBorder="1" applyAlignment="1">
      <alignment horizontal="center"/>
    </xf>
    <xf numFmtId="0" fontId="5" fillId="33" borderId="0" xfId="81" applyFont="1" applyFill="1" applyAlignment="1">
      <alignment horizontal="center"/>
    </xf>
    <xf numFmtId="0" fontId="2" fillId="33" borderId="0" xfId="83" applyFont="1" applyFill="1" applyBorder="1">
      <alignment/>
      <protection/>
    </xf>
    <xf numFmtId="0" fontId="2" fillId="33" borderId="0" xfId="83" applyFont="1" applyFill="1">
      <alignment/>
      <protection/>
    </xf>
    <xf numFmtId="3" fontId="2" fillId="33" borderId="0" xfId="83" applyNumberFormat="1" applyFont="1" applyFill="1">
      <alignment/>
      <protection/>
    </xf>
    <xf numFmtId="0" fontId="4" fillId="33" borderId="0" xfId="83" applyFont="1" applyFill="1">
      <alignment/>
      <protection/>
    </xf>
    <xf numFmtId="0" fontId="4" fillId="33" borderId="0" xfId="83" applyFont="1" applyFill="1" applyBorder="1">
      <alignment/>
      <protection/>
    </xf>
    <xf numFmtId="167" fontId="4" fillId="33" borderId="14" xfId="54" applyNumberFormat="1" applyFont="1" applyFill="1" applyBorder="1" applyAlignment="1">
      <alignment/>
    </xf>
    <xf numFmtId="0" fontId="107" fillId="0" borderId="0" xfId="0" applyFont="1" applyAlignment="1">
      <alignment vertical="top" wrapText="1"/>
    </xf>
    <xf numFmtId="0" fontId="111" fillId="0" borderId="0" xfId="0" applyFont="1" applyFill="1" applyAlignment="1">
      <alignment/>
    </xf>
    <xf numFmtId="0" fontId="6" fillId="0" borderId="0" xfId="0" applyFont="1" applyFill="1" applyAlignment="1">
      <alignment/>
    </xf>
    <xf numFmtId="165" fontId="111" fillId="0" borderId="0" xfId="49" applyFont="1" applyFill="1" applyAlignment="1">
      <alignment/>
    </xf>
    <xf numFmtId="167" fontId="6" fillId="0" borderId="0" xfId="49" applyNumberFormat="1" applyFont="1" applyFill="1" applyAlignment="1">
      <alignment/>
    </xf>
    <xf numFmtId="167" fontId="111" fillId="0" borderId="0" xfId="49" applyNumberFormat="1" applyFont="1" applyFill="1" applyAlignment="1">
      <alignment/>
    </xf>
    <xf numFmtId="164" fontId="111" fillId="0" borderId="0" xfId="0" applyNumberFormat="1" applyFont="1" applyFill="1" applyAlignment="1">
      <alignment/>
    </xf>
    <xf numFmtId="167" fontId="107" fillId="0" borderId="0" xfId="0" applyNumberFormat="1" applyFont="1" applyAlignment="1">
      <alignment/>
    </xf>
    <xf numFmtId="169" fontId="107" fillId="0" borderId="0" xfId="0" applyNumberFormat="1" applyFont="1" applyAlignment="1">
      <alignment/>
    </xf>
    <xf numFmtId="0" fontId="0" fillId="0" borderId="0" xfId="0" applyFill="1" applyAlignment="1">
      <alignment/>
    </xf>
    <xf numFmtId="0" fontId="107" fillId="0" borderId="0" xfId="0" applyFont="1" applyFill="1" applyBorder="1" applyAlignment="1">
      <alignment/>
    </xf>
    <xf numFmtId="164" fontId="107" fillId="0" borderId="0" xfId="50" applyFont="1" applyFill="1" applyAlignment="1">
      <alignment/>
    </xf>
    <xf numFmtId="0" fontId="108" fillId="0" borderId="0" xfId="0" applyFont="1" applyFill="1" applyBorder="1" applyAlignment="1">
      <alignment/>
    </xf>
    <xf numFmtId="0" fontId="108" fillId="0" borderId="0" xfId="0" applyFont="1" applyFill="1" applyAlignment="1">
      <alignment vertical="center"/>
    </xf>
    <xf numFmtId="0" fontId="110" fillId="0" borderId="0" xfId="0" applyFont="1" applyFill="1" applyAlignment="1">
      <alignment/>
    </xf>
    <xf numFmtId="0" fontId="113" fillId="0" borderId="0" xfId="0" applyFont="1" applyAlignment="1">
      <alignment/>
    </xf>
    <xf numFmtId="167" fontId="113" fillId="0" borderId="0" xfId="49" applyNumberFormat="1" applyFont="1" applyAlignment="1">
      <alignment/>
    </xf>
    <xf numFmtId="167" fontId="4" fillId="0" borderId="14" xfId="49" applyNumberFormat="1" applyFont="1" applyBorder="1" applyAlignment="1">
      <alignment/>
    </xf>
    <xf numFmtId="167" fontId="113" fillId="0" borderId="0" xfId="0" applyNumberFormat="1" applyFont="1" applyAlignment="1">
      <alignment/>
    </xf>
    <xf numFmtId="169" fontId="2" fillId="0" borderId="0" xfId="49" applyNumberFormat="1" applyFont="1" applyAlignment="1">
      <alignment/>
    </xf>
    <xf numFmtId="167" fontId="114" fillId="0" borderId="0" xfId="49" applyNumberFormat="1" applyFont="1" applyAlignment="1">
      <alignment/>
    </xf>
    <xf numFmtId="167" fontId="114" fillId="0" borderId="0" xfId="0" applyNumberFormat="1" applyFont="1" applyAlignment="1">
      <alignment/>
    </xf>
    <xf numFmtId="172" fontId="107" fillId="0" borderId="0" xfId="0" applyNumberFormat="1" applyFont="1" applyAlignment="1">
      <alignment horizontal="right"/>
    </xf>
    <xf numFmtId="167" fontId="2" fillId="0" borderId="0" xfId="49" applyNumberFormat="1" applyFont="1" applyAlignment="1">
      <alignment/>
    </xf>
    <xf numFmtId="167" fontId="4" fillId="0" borderId="0" xfId="49" applyNumberFormat="1" applyFont="1" applyAlignment="1">
      <alignment/>
    </xf>
    <xf numFmtId="0" fontId="7" fillId="0" borderId="0" xfId="0" applyFont="1" applyAlignment="1">
      <alignment/>
    </xf>
    <xf numFmtId="167" fontId="7" fillId="0" borderId="0" xfId="49" applyNumberFormat="1" applyFont="1" applyAlignment="1">
      <alignment/>
    </xf>
    <xf numFmtId="0" fontId="2" fillId="0" borderId="0" xfId="79" applyFont="1" applyAlignment="1">
      <alignment/>
    </xf>
    <xf numFmtId="167" fontId="107" fillId="0" borderId="0" xfId="49" applyNumberFormat="1" applyFont="1" applyAlignment="1">
      <alignment/>
    </xf>
    <xf numFmtId="0" fontId="107" fillId="0" borderId="0" xfId="0" applyFont="1" applyAlignment="1">
      <alignment horizontal="left"/>
    </xf>
    <xf numFmtId="167" fontId="107" fillId="0" borderId="0" xfId="49" applyNumberFormat="1" applyFont="1" applyAlignment="1">
      <alignment horizontal="center"/>
    </xf>
    <xf numFmtId="0" fontId="3" fillId="0" borderId="0" xfId="0" applyFont="1" applyFill="1" applyAlignment="1">
      <alignment/>
    </xf>
    <xf numFmtId="167" fontId="110" fillId="0" borderId="0" xfId="0" applyNumberFormat="1" applyFont="1" applyFill="1" applyAlignment="1">
      <alignment/>
    </xf>
    <xf numFmtId="171" fontId="115" fillId="0" borderId="0" xfId="50" applyNumberFormat="1" applyFont="1" applyFill="1" applyAlignment="1">
      <alignment/>
    </xf>
    <xf numFmtId="0" fontId="113" fillId="0" borderId="0" xfId="0" applyFont="1" applyFill="1" applyAlignment="1">
      <alignment/>
    </xf>
    <xf numFmtId="0" fontId="4" fillId="0" borderId="0" xfId="0" applyFont="1" applyFill="1" applyAlignment="1">
      <alignment/>
    </xf>
    <xf numFmtId="167" fontId="107" fillId="0" borderId="0" xfId="49" applyNumberFormat="1" applyFont="1" applyFill="1" applyAlignment="1">
      <alignment/>
    </xf>
    <xf numFmtId="0" fontId="107" fillId="0" borderId="0" xfId="0" applyFont="1" applyFill="1" applyAlignment="1">
      <alignment horizontal="left"/>
    </xf>
    <xf numFmtId="167" fontId="112" fillId="0" borderId="0" xfId="49" applyNumberFormat="1" applyFont="1" applyAlignment="1">
      <alignment/>
    </xf>
    <xf numFmtId="167" fontId="4" fillId="33" borderId="14" xfId="77" applyNumberFormat="1" applyFont="1" applyFill="1" applyBorder="1">
      <alignment/>
      <protection/>
    </xf>
    <xf numFmtId="164" fontId="108" fillId="33" borderId="0" xfId="0" applyNumberFormat="1" applyFont="1" applyFill="1" applyBorder="1" applyAlignment="1">
      <alignment/>
    </xf>
    <xf numFmtId="167" fontId="4" fillId="33" borderId="0" xfId="77" applyNumberFormat="1" applyFont="1" applyFill="1" applyBorder="1">
      <alignment/>
      <protection/>
    </xf>
    <xf numFmtId="0" fontId="107" fillId="0" borderId="0" xfId="0" applyFont="1" applyAlignment="1">
      <alignment horizontal="left"/>
    </xf>
    <xf numFmtId="0" fontId="111" fillId="33" borderId="0" xfId="0" applyFont="1" applyFill="1" applyAlignment="1">
      <alignment/>
    </xf>
    <xf numFmtId="0" fontId="6" fillId="33" borderId="0" xfId="0" applyFont="1" applyFill="1" applyAlignment="1">
      <alignment/>
    </xf>
    <xf numFmtId="0" fontId="8" fillId="0" borderId="0" xfId="0" applyFont="1" applyFill="1" applyAlignment="1">
      <alignment/>
    </xf>
    <xf numFmtId="0" fontId="116" fillId="0" borderId="0" xfId="0" applyFont="1" applyFill="1" applyAlignment="1">
      <alignment/>
    </xf>
    <xf numFmtId="167" fontId="4" fillId="0" borderId="19" xfId="49" applyNumberFormat="1" applyFont="1" applyFill="1" applyBorder="1" applyAlignment="1">
      <alignment/>
    </xf>
    <xf numFmtId="167" fontId="107" fillId="0" borderId="0" xfId="0" applyNumberFormat="1" applyFont="1" applyFill="1" applyAlignment="1">
      <alignment/>
    </xf>
    <xf numFmtId="167" fontId="2" fillId="0" borderId="0" xfId="49" applyNumberFormat="1" applyFont="1" applyFill="1" applyAlignment="1">
      <alignment/>
    </xf>
    <xf numFmtId="167" fontId="117" fillId="0" borderId="0" xfId="0" applyNumberFormat="1" applyFont="1" applyFill="1" applyAlignment="1">
      <alignment/>
    </xf>
    <xf numFmtId="0" fontId="7" fillId="0" borderId="0" xfId="0" applyFont="1" applyAlignment="1">
      <alignment horizontal="center"/>
    </xf>
    <xf numFmtId="167" fontId="112" fillId="0" borderId="0" xfId="49" applyNumberFormat="1" applyFont="1" applyAlignment="1">
      <alignment horizontal="center"/>
    </xf>
    <xf numFmtId="0" fontId="9" fillId="0" borderId="0" xfId="0" applyFont="1" applyAlignment="1">
      <alignment/>
    </xf>
    <xf numFmtId="167" fontId="107" fillId="0" borderId="0" xfId="49" applyNumberFormat="1" applyFont="1" applyBorder="1" applyAlignment="1">
      <alignment/>
    </xf>
    <xf numFmtId="0" fontId="107" fillId="0" borderId="0" xfId="0" applyFont="1" applyBorder="1" applyAlignment="1">
      <alignment horizontal="left"/>
    </xf>
    <xf numFmtId="167" fontId="107" fillId="0" borderId="0" xfId="49" applyNumberFormat="1" applyFont="1" applyBorder="1" applyAlignment="1">
      <alignment horizontal="center"/>
    </xf>
    <xf numFmtId="167" fontId="4" fillId="0" borderId="0" xfId="49" applyNumberFormat="1" applyFont="1" applyBorder="1" applyAlignment="1">
      <alignment/>
    </xf>
    <xf numFmtId="167" fontId="2" fillId="0" borderId="0" xfId="49" applyNumberFormat="1" applyFont="1" applyBorder="1" applyAlignment="1">
      <alignment/>
    </xf>
    <xf numFmtId="167" fontId="114" fillId="0" borderId="0" xfId="49" applyNumberFormat="1" applyFont="1" applyBorder="1" applyAlignment="1">
      <alignment/>
    </xf>
    <xf numFmtId="0" fontId="107" fillId="0" borderId="15" xfId="0" applyFont="1" applyFill="1" applyBorder="1" applyAlignment="1">
      <alignment/>
    </xf>
    <xf numFmtId="0" fontId="107" fillId="0" borderId="16" xfId="0" applyFont="1" applyFill="1" applyBorder="1" applyAlignment="1">
      <alignment/>
    </xf>
    <xf numFmtId="0" fontId="118" fillId="0" borderId="0" xfId="0" applyFont="1" applyFill="1" applyAlignment="1">
      <alignment/>
    </xf>
    <xf numFmtId="167" fontId="116" fillId="0" borderId="0" xfId="49" applyNumberFormat="1" applyFont="1" applyFill="1" applyAlignment="1">
      <alignment/>
    </xf>
    <xf numFmtId="167" fontId="8" fillId="0" borderId="0" xfId="49" applyNumberFormat="1" applyFont="1" applyFill="1" applyAlignment="1">
      <alignment/>
    </xf>
    <xf numFmtId="0" fontId="116" fillId="0" borderId="0" xfId="0" applyFont="1" applyFill="1" applyAlignment="1">
      <alignment/>
    </xf>
    <xf numFmtId="0" fontId="8" fillId="0" borderId="0" xfId="0" applyFont="1" applyFill="1" applyAlignment="1">
      <alignment/>
    </xf>
    <xf numFmtId="14" fontId="3" fillId="33" borderId="0" xfId="83" applyNumberFormat="1" applyFont="1" applyFill="1" applyBorder="1" applyAlignment="1">
      <alignment horizontal="center"/>
      <protection/>
    </xf>
    <xf numFmtId="169" fontId="2" fillId="33" borderId="12" xfId="52" applyNumberFormat="1" applyFont="1" applyFill="1" applyBorder="1" applyAlignment="1">
      <alignment/>
    </xf>
    <xf numFmtId="0" fontId="106" fillId="0" borderId="0" xfId="0" applyFont="1" applyAlignment="1">
      <alignment/>
    </xf>
    <xf numFmtId="165" fontId="107" fillId="0" borderId="0" xfId="49" applyFont="1" applyFill="1" applyAlignment="1">
      <alignment/>
    </xf>
    <xf numFmtId="167" fontId="4" fillId="0" borderId="0" xfId="49" applyNumberFormat="1" applyFont="1" applyFill="1" applyAlignment="1">
      <alignment/>
    </xf>
    <xf numFmtId="167" fontId="107" fillId="0" borderId="0" xfId="49" applyNumberFormat="1" applyFont="1" applyFill="1" applyAlignment="1">
      <alignment horizontal="center"/>
    </xf>
    <xf numFmtId="167" fontId="8" fillId="0" borderId="0" xfId="49" applyNumberFormat="1" applyFont="1" applyFill="1" applyAlignment="1">
      <alignment horizontal="left"/>
    </xf>
    <xf numFmtId="167" fontId="119" fillId="35" borderId="0" xfId="0" applyNumberFormat="1" applyFont="1" applyFill="1" applyAlignment="1">
      <alignment horizontal="center" vertical="center"/>
    </xf>
    <xf numFmtId="0" fontId="120" fillId="36" borderId="0" xfId="0" applyFont="1" applyFill="1" applyAlignment="1">
      <alignment vertical="center"/>
    </xf>
    <xf numFmtId="167" fontId="120" fillId="36" borderId="0" xfId="49" applyNumberFormat="1" applyFont="1" applyFill="1" applyBorder="1" applyAlignment="1">
      <alignment/>
    </xf>
    <xf numFmtId="167" fontId="120" fillId="36" borderId="0" xfId="49" applyNumberFormat="1" applyFont="1" applyFill="1" applyBorder="1" applyAlignment="1">
      <alignment vertical="center"/>
    </xf>
    <xf numFmtId="0" fontId="119" fillId="35" borderId="0" xfId="0" applyFont="1" applyFill="1" applyAlignment="1">
      <alignment horizontal="center" vertical="center"/>
    </xf>
    <xf numFmtId="0" fontId="121" fillId="35" borderId="0" xfId="0" applyFont="1" applyFill="1" applyAlignment="1">
      <alignment/>
    </xf>
    <xf numFmtId="0" fontId="108" fillId="33" borderId="10" xfId="0" applyFont="1" applyFill="1" applyBorder="1" applyAlignment="1">
      <alignment horizontal="center" vertical="center" wrapText="1"/>
    </xf>
    <xf numFmtId="9" fontId="107" fillId="33" borderId="18" xfId="140" applyFont="1" applyFill="1" applyBorder="1" applyAlignment="1">
      <alignment/>
    </xf>
    <xf numFmtId="0" fontId="3" fillId="37" borderId="10" xfId="64" applyFont="1" applyFill="1" applyBorder="1">
      <alignment/>
      <protection/>
    </xf>
    <xf numFmtId="169" fontId="3" fillId="37" borderId="10" xfId="57" applyNumberFormat="1" applyFont="1" applyFill="1" applyBorder="1" applyAlignment="1">
      <alignment/>
    </xf>
    <xf numFmtId="166" fontId="11" fillId="37" borderId="10" xfId="57" applyFont="1" applyFill="1" applyBorder="1" applyAlignment="1">
      <alignment/>
    </xf>
    <xf numFmtId="0" fontId="114" fillId="33" borderId="0" xfId="0" applyFont="1" applyFill="1" applyAlignment="1">
      <alignment/>
    </xf>
    <xf numFmtId="0" fontId="122" fillId="0" borderId="0" xfId="0" applyFont="1" applyFill="1" applyAlignment="1">
      <alignment/>
    </xf>
    <xf numFmtId="169" fontId="4" fillId="33" borderId="0" xfId="49" applyNumberFormat="1" applyFont="1" applyFill="1" applyBorder="1" applyAlignment="1">
      <alignment/>
    </xf>
    <xf numFmtId="0" fontId="108" fillId="0" borderId="0" xfId="0" applyFont="1" applyFill="1" applyAlignment="1">
      <alignment/>
    </xf>
    <xf numFmtId="0" fontId="4" fillId="0" borderId="0" xfId="0" applyFont="1" applyFill="1" applyAlignment="1">
      <alignment wrapText="1"/>
    </xf>
    <xf numFmtId="0" fontId="107" fillId="0" borderId="0" xfId="0" applyFont="1" applyAlignment="1">
      <alignment wrapText="1"/>
    </xf>
    <xf numFmtId="3" fontId="112" fillId="0" borderId="0" xfId="50" applyNumberFormat="1" applyFont="1" applyAlignment="1">
      <alignment/>
    </xf>
    <xf numFmtId="3" fontId="107" fillId="0" borderId="0" xfId="50" applyNumberFormat="1" applyFont="1" applyAlignment="1">
      <alignment/>
    </xf>
    <xf numFmtId="3" fontId="112" fillId="0" borderId="0" xfId="50" applyNumberFormat="1" applyFont="1" applyBorder="1" applyAlignment="1">
      <alignment/>
    </xf>
    <xf numFmtId="0" fontId="109" fillId="38" borderId="0" xfId="0" applyFont="1" applyFill="1" applyAlignment="1">
      <alignment vertical="center"/>
    </xf>
    <xf numFmtId="0" fontId="107" fillId="38" borderId="0" xfId="0" applyFont="1" applyFill="1" applyAlignment="1">
      <alignment/>
    </xf>
    <xf numFmtId="0" fontId="0" fillId="38" borderId="0" xfId="0" applyFill="1" applyAlignment="1">
      <alignment/>
    </xf>
    <xf numFmtId="168" fontId="107" fillId="33" borderId="19" xfId="49" applyNumberFormat="1" applyFont="1" applyFill="1" applyBorder="1" applyAlignment="1">
      <alignment/>
    </xf>
    <xf numFmtId="0" fontId="123" fillId="33" borderId="10" xfId="0" applyFont="1" applyFill="1" applyBorder="1" applyAlignment="1">
      <alignment/>
    </xf>
    <xf numFmtId="0" fontId="0" fillId="38" borderId="12" xfId="0" applyFill="1" applyBorder="1" applyAlignment="1">
      <alignment/>
    </xf>
    <xf numFmtId="0" fontId="106" fillId="38" borderId="12" xfId="0" applyFont="1" applyFill="1" applyBorder="1" applyAlignment="1">
      <alignment horizontal="center"/>
    </xf>
    <xf numFmtId="0" fontId="106" fillId="38" borderId="0" xfId="0" applyFont="1" applyFill="1" applyAlignment="1">
      <alignment/>
    </xf>
    <xf numFmtId="170" fontId="4" fillId="33" borderId="0" xfId="76" applyNumberFormat="1" applyFont="1" applyFill="1" applyBorder="1" applyAlignment="1" quotePrefix="1">
      <alignment horizontal="center"/>
      <protection/>
    </xf>
    <xf numFmtId="0" fontId="0" fillId="0" borderId="0" xfId="0" applyBorder="1" applyAlignment="1">
      <alignment/>
    </xf>
    <xf numFmtId="0" fontId="106" fillId="0" borderId="12" xfId="0" applyFont="1" applyBorder="1" applyAlignment="1">
      <alignment horizontal="center"/>
    </xf>
    <xf numFmtId="0" fontId="106" fillId="0" borderId="12" xfId="0" applyFont="1" applyBorder="1" applyAlignment="1">
      <alignment horizontal="center" vertical="center"/>
    </xf>
    <xf numFmtId="0" fontId="101" fillId="38" borderId="0" xfId="0" applyFont="1" applyFill="1" applyAlignment="1">
      <alignment/>
    </xf>
    <xf numFmtId="0" fontId="107" fillId="0" borderId="0" xfId="0" applyFont="1" applyAlignment="1">
      <alignment horizontal="left" vertical="top" wrapText="1"/>
    </xf>
    <xf numFmtId="0" fontId="107" fillId="0" borderId="0" xfId="0" applyFont="1" applyAlignment="1">
      <alignment vertical="justify" wrapText="1"/>
    </xf>
    <xf numFmtId="0" fontId="107" fillId="0" borderId="0" xfId="0" applyFont="1" applyFill="1" applyAlignment="1">
      <alignment vertical="justify" wrapText="1"/>
    </xf>
    <xf numFmtId="0" fontId="108" fillId="0" borderId="0" xfId="0" applyFont="1" applyAlignment="1">
      <alignment horizontal="left" vertical="top" wrapText="1"/>
    </xf>
    <xf numFmtId="0" fontId="108" fillId="0" borderId="0" xfId="0" applyFont="1" applyAlignment="1">
      <alignment vertical="top" wrapText="1"/>
    </xf>
    <xf numFmtId="0" fontId="107" fillId="38" borderId="0" xfId="0" applyFont="1" applyFill="1" applyAlignment="1">
      <alignment vertical="justify" wrapText="1"/>
    </xf>
    <xf numFmtId="0" fontId="107" fillId="38" borderId="0" xfId="0" applyFont="1" applyFill="1" applyAlignment="1">
      <alignment horizontal="left" vertical="top" wrapText="1"/>
    </xf>
    <xf numFmtId="0" fontId="107" fillId="38" borderId="0" xfId="0" applyFont="1" applyFill="1" applyAlignment="1">
      <alignment vertical="top" wrapText="1"/>
    </xf>
    <xf numFmtId="0" fontId="108" fillId="38" borderId="0" xfId="0" applyFont="1" applyFill="1" applyAlignment="1">
      <alignment vertical="top" wrapText="1"/>
    </xf>
    <xf numFmtId="0" fontId="108" fillId="38" borderId="0" xfId="0" applyFont="1" applyFill="1" applyAlignment="1">
      <alignment vertical="justify" wrapText="1"/>
    </xf>
    <xf numFmtId="0" fontId="108" fillId="38" borderId="0" xfId="0" applyFont="1" applyFill="1" applyAlignment="1">
      <alignment horizontal="center" vertical="center" wrapText="1"/>
    </xf>
    <xf numFmtId="0" fontId="95" fillId="0" borderId="0" xfId="46" applyAlignment="1">
      <alignment/>
    </xf>
    <xf numFmtId="0" fontId="95" fillId="38" borderId="0" xfId="46" applyFill="1" applyAlignment="1">
      <alignment/>
    </xf>
    <xf numFmtId="0" fontId="120" fillId="33" borderId="0" xfId="0" applyFont="1" applyFill="1" applyAlignment="1">
      <alignment horizontal="left" vertical="center"/>
    </xf>
    <xf numFmtId="0" fontId="101" fillId="0" borderId="0" xfId="0" applyFont="1" applyAlignment="1">
      <alignment/>
    </xf>
    <xf numFmtId="0" fontId="120" fillId="33" borderId="0" xfId="0" applyFont="1" applyFill="1" applyAlignment="1">
      <alignment vertical="center"/>
    </xf>
    <xf numFmtId="0" fontId="95" fillId="33" borderId="0" xfId="46" applyFill="1" applyAlignment="1">
      <alignment/>
    </xf>
    <xf numFmtId="0" fontId="106" fillId="33" borderId="0" xfId="0" applyFont="1" applyFill="1" applyAlignment="1">
      <alignment/>
    </xf>
    <xf numFmtId="0" fontId="109" fillId="38" borderId="0" xfId="0" applyFont="1" applyFill="1" applyBorder="1" applyAlignment="1">
      <alignment/>
    </xf>
    <xf numFmtId="169" fontId="109" fillId="38" borderId="0" xfId="53" applyNumberFormat="1" applyFont="1" applyFill="1" applyBorder="1" applyAlignment="1">
      <alignment/>
    </xf>
    <xf numFmtId="9" fontId="109" fillId="38" borderId="0" xfId="140" applyFont="1" applyFill="1" applyBorder="1" applyAlignment="1">
      <alignment/>
    </xf>
    <xf numFmtId="3" fontId="109" fillId="38" borderId="0" xfId="0" applyNumberFormat="1" applyFont="1" applyFill="1" applyBorder="1" applyAlignment="1">
      <alignment/>
    </xf>
    <xf numFmtId="0" fontId="124" fillId="38" borderId="0" xfId="0" applyFont="1" applyFill="1" applyBorder="1" applyAlignment="1">
      <alignment/>
    </xf>
    <xf numFmtId="164" fontId="109" fillId="38" borderId="20" xfId="50" applyFont="1" applyFill="1" applyBorder="1" applyAlignment="1">
      <alignment/>
    </xf>
    <xf numFmtId="0" fontId="0" fillId="33" borderId="0" xfId="0" applyFill="1" applyBorder="1" applyAlignment="1">
      <alignment/>
    </xf>
    <xf numFmtId="0" fontId="124" fillId="38" borderId="0" xfId="0" applyFont="1" applyFill="1" applyBorder="1" applyAlignment="1">
      <alignment vertical="center" wrapText="1"/>
    </xf>
    <xf numFmtId="0" fontId="0" fillId="36" borderId="0" xfId="0" applyFill="1" applyAlignment="1">
      <alignment/>
    </xf>
    <xf numFmtId="0" fontId="11" fillId="33" borderId="0" xfId="64" applyFont="1" applyFill="1" applyBorder="1">
      <alignment/>
      <protection/>
    </xf>
    <xf numFmtId="0" fontId="11" fillId="38" borderId="0" xfId="64" applyFont="1" applyFill="1" applyBorder="1">
      <alignment/>
      <protection/>
    </xf>
    <xf numFmtId="0" fontId="125" fillId="38" borderId="0" xfId="64" applyFont="1" applyFill="1" applyBorder="1">
      <alignment/>
      <protection/>
    </xf>
    <xf numFmtId="0" fontId="11" fillId="38" borderId="15" xfId="64" applyFont="1" applyFill="1" applyBorder="1">
      <alignment/>
      <protection/>
    </xf>
    <xf numFmtId="169" fontId="3" fillId="38" borderId="21" xfId="57" applyNumberFormat="1" applyFont="1" applyFill="1" applyBorder="1" applyAlignment="1">
      <alignment/>
    </xf>
    <xf numFmtId="169" fontId="3" fillId="38" borderId="15" xfId="57" applyNumberFormat="1" applyFont="1" applyFill="1" applyBorder="1" applyAlignment="1">
      <alignment/>
    </xf>
    <xf numFmtId="169" fontId="11" fillId="38" borderId="21" xfId="57" applyNumberFormat="1" applyFont="1" applyFill="1" applyBorder="1" applyAlignment="1">
      <alignment/>
    </xf>
    <xf numFmtId="169" fontId="11" fillId="38" borderId="16" xfId="57" applyNumberFormat="1" applyFont="1" applyFill="1" applyBorder="1" applyAlignment="1">
      <alignment/>
    </xf>
    <xf numFmtId="169" fontId="3" fillId="38" borderId="16" xfId="57" applyNumberFormat="1" applyFont="1" applyFill="1" applyBorder="1" applyAlignment="1">
      <alignment/>
    </xf>
    <xf numFmtId="166" fontId="11" fillId="38" borderId="21" xfId="57" applyFont="1" applyFill="1" applyBorder="1" applyAlignment="1">
      <alignment/>
    </xf>
    <xf numFmtId="169" fontId="11" fillId="38" borderId="0" xfId="64" applyNumberFormat="1" applyFont="1" applyFill="1" applyBorder="1">
      <alignment/>
      <protection/>
    </xf>
    <xf numFmtId="166" fontId="11" fillId="38" borderId="15" xfId="57" applyFont="1" applyFill="1" applyBorder="1" applyAlignment="1">
      <alignment horizontal="right"/>
    </xf>
    <xf numFmtId="169" fontId="11" fillId="38" borderId="21" xfId="57" applyNumberFormat="1" applyFont="1" applyFill="1" applyBorder="1" applyAlignment="1" quotePrefix="1">
      <alignment/>
    </xf>
    <xf numFmtId="0" fontId="107" fillId="0" borderId="0" xfId="0" applyFont="1" applyFill="1" applyAlignment="1">
      <alignment horizontal="left" vertical="justify" wrapText="1"/>
    </xf>
    <xf numFmtId="0" fontId="2" fillId="0" borderId="0" xfId="0" applyFont="1" applyFill="1" applyAlignment="1">
      <alignment horizontal="left" vertical="justify" wrapText="1"/>
    </xf>
    <xf numFmtId="0" fontId="0" fillId="38" borderId="0" xfId="0" applyFill="1" applyBorder="1" applyAlignment="1">
      <alignment/>
    </xf>
    <xf numFmtId="0" fontId="0" fillId="38" borderId="15" xfId="0" applyFill="1" applyBorder="1" applyAlignment="1">
      <alignment/>
    </xf>
    <xf numFmtId="0" fontId="0" fillId="38" borderId="16" xfId="0" applyFill="1" applyBorder="1" applyAlignment="1">
      <alignment/>
    </xf>
    <xf numFmtId="0" fontId="14" fillId="38" borderId="0" xfId="0" applyFont="1" applyFill="1" applyAlignment="1">
      <alignment/>
    </xf>
    <xf numFmtId="0" fontId="14" fillId="0" borderId="0" xfId="0" applyFont="1" applyAlignment="1">
      <alignment/>
    </xf>
    <xf numFmtId="0" fontId="15" fillId="0" borderId="22" xfId="0" applyFont="1" applyBorder="1" applyAlignment="1">
      <alignment horizontal="center" vertical="center" wrapText="1"/>
    </xf>
    <xf numFmtId="0" fontId="15" fillId="0" borderId="23" xfId="0" applyFont="1" applyBorder="1" applyAlignment="1">
      <alignment horizontal="center" vertical="center" wrapText="1"/>
    </xf>
    <xf numFmtId="0" fontId="14" fillId="38" borderId="24" xfId="0" applyFont="1" applyFill="1" applyBorder="1" applyAlignment="1">
      <alignment vertical="top" wrapText="1"/>
    </xf>
    <xf numFmtId="0" fontId="14" fillId="38" borderId="25" xfId="0" applyFont="1" applyFill="1" applyBorder="1" applyAlignment="1">
      <alignment vertical="top" wrapText="1"/>
    </xf>
    <xf numFmtId="0" fontId="61" fillId="0" borderId="25" xfId="0" applyFont="1" applyBorder="1" applyAlignment="1">
      <alignment vertical="center" wrapText="1"/>
    </xf>
    <xf numFmtId="0" fontId="61" fillId="0" borderId="26" xfId="0" applyFont="1" applyBorder="1" applyAlignment="1">
      <alignment vertical="center" wrapText="1"/>
    </xf>
    <xf numFmtId="0" fontId="61" fillId="0" borderId="27" xfId="0" applyFont="1" applyBorder="1" applyAlignment="1">
      <alignment horizontal="center" vertical="center" wrapText="1"/>
    </xf>
    <xf numFmtId="0" fontId="61" fillId="0" borderId="28" xfId="0" applyFont="1" applyBorder="1" applyAlignment="1">
      <alignment horizontal="center" vertical="center" wrapText="1"/>
    </xf>
    <xf numFmtId="0" fontId="61" fillId="0" borderId="28" xfId="0" applyFont="1" applyBorder="1" applyAlignment="1">
      <alignment vertical="center" wrapText="1"/>
    </xf>
    <xf numFmtId="0" fontId="61" fillId="0" borderId="29" xfId="0" applyFont="1" applyBorder="1" applyAlignment="1">
      <alignment vertical="center" wrapText="1"/>
    </xf>
    <xf numFmtId="0" fontId="61" fillId="0" borderId="30" xfId="0" applyFont="1" applyBorder="1" applyAlignment="1">
      <alignment horizontal="center" vertical="center" wrapText="1"/>
    </xf>
    <xf numFmtId="0" fontId="61" fillId="0" borderId="31" xfId="0" applyFont="1" applyBorder="1" applyAlignment="1">
      <alignment horizontal="center" vertical="center" wrapText="1"/>
    </xf>
    <xf numFmtId="0" fontId="61" fillId="0" borderId="31" xfId="0" applyFont="1" applyBorder="1" applyAlignment="1">
      <alignment vertical="center" wrapText="1"/>
    </xf>
    <xf numFmtId="0" fontId="61" fillId="0" borderId="32" xfId="0" applyFont="1" applyBorder="1" applyAlignment="1">
      <alignment vertical="center" wrapText="1"/>
    </xf>
    <xf numFmtId="0" fontId="61" fillId="38" borderId="0" xfId="0" applyFont="1" applyFill="1" applyAlignment="1">
      <alignment/>
    </xf>
    <xf numFmtId="0" fontId="61" fillId="0" borderId="0" xfId="0" applyFont="1" applyAlignment="1">
      <alignment/>
    </xf>
    <xf numFmtId="0" fontId="107" fillId="0" borderId="0" xfId="0" applyFont="1" applyFill="1" applyAlignment="1">
      <alignment horizontal="left" vertical="justify" wrapText="1"/>
    </xf>
    <xf numFmtId="0" fontId="110" fillId="0" borderId="0" xfId="0" applyFont="1" applyFill="1" applyAlignment="1">
      <alignment horizontal="left" vertical="justify" wrapText="1"/>
    </xf>
    <xf numFmtId="0" fontId="15" fillId="0" borderId="12" xfId="0" applyFont="1" applyFill="1" applyBorder="1" applyAlignment="1">
      <alignment horizontal="center" wrapText="1"/>
    </xf>
    <xf numFmtId="0" fontId="0" fillId="38" borderId="10" xfId="0" applyFill="1" applyBorder="1" applyAlignment="1">
      <alignment/>
    </xf>
    <xf numFmtId="0" fontId="110" fillId="35" borderId="0" xfId="0" applyFont="1" applyFill="1" applyAlignment="1">
      <alignment/>
    </xf>
    <xf numFmtId="0" fontId="107" fillId="33" borderId="0" xfId="0" applyFont="1" applyFill="1" applyAlignment="1">
      <alignment horizontal="center" vertical="center"/>
    </xf>
    <xf numFmtId="0" fontId="95" fillId="33" borderId="0" xfId="46" applyFill="1" applyAlignment="1">
      <alignment horizontal="center" vertical="center"/>
    </xf>
    <xf numFmtId="0" fontId="0" fillId="0" borderId="0" xfId="0" applyAlignment="1">
      <alignment/>
    </xf>
    <xf numFmtId="170" fontId="126" fillId="35" borderId="0" xfId="49" applyNumberFormat="1" applyFont="1" applyFill="1" applyAlignment="1">
      <alignment horizontal="center" vertical="center"/>
    </xf>
    <xf numFmtId="0" fontId="126" fillId="33" borderId="0" xfId="0" applyFont="1" applyFill="1" applyBorder="1" applyAlignment="1">
      <alignment horizontal="center" vertical="center"/>
    </xf>
    <xf numFmtId="0" fontId="127" fillId="33" borderId="0" xfId="0" applyFont="1" applyFill="1" applyAlignment="1">
      <alignment horizontal="center" vertical="center"/>
    </xf>
    <xf numFmtId="167" fontId="107" fillId="33" borderId="0" xfId="0" applyNumberFormat="1" applyFont="1" applyFill="1" applyAlignment="1">
      <alignment horizontal="center" vertical="center"/>
    </xf>
    <xf numFmtId="0" fontId="126" fillId="33" borderId="0" xfId="0" applyFont="1" applyFill="1" applyAlignment="1">
      <alignment horizontal="center" vertical="center"/>
    </xf>
    <xf numFmtId="0" fontId="4" fillId="33" borderId="0" xfId="0" applyFont="1" applyFill="1" applyAlignment="1">
      <alignment horizontal="center" vertical="center"/>
    </xf>
    <xf numFmtId="0" fontId="10" fillId="33" borderId="0" xfId="0" applyFont="1" applyFill="1" applyAlignment="1">
      <alignment horizontal="center" vertical="center"/>
    </xf>
    <xf numFmtId="0" fontId="110" fillId="33" borderId="0" xfId="0" applyFont="1" applyFill="1" applyAlignment="1">
      <alignment horizontal="center" vertical="center"/>
    </xf>
    <xf numFmtId="167" fontId="116" fillId="33" borderId="0" xfId="49" applyNumberFormat="1" applyFont="1" applyFill="1" applyAlignment="1">
      <alignment horizontal="center" vertical="center"/>
    </xf>
    <xf numFmtId="167" fontId="8" fillId="0" borderId="0" xfId="49" applyNumberFormat="1" applyFont="1" applyFill="1" applyAlignment="1">
      <alignment horizontal="center" vertical="center"/>
    </xf>
    <xf numFmtId="0" fontId="8" fillId="33" borderId="0" xfId="0" applyFont="1" applyFill="1" applyAlignment="1">
      <alignment horizontal="center" vertical="center"/>
    </xf>
    <xf numFmtId="0" fontId="116" fillId="33" borderId="0" xfId="0" applyFont="1" applyFill="1" applyAlignment="1">
      <alignment horizontal="center" vertical="center"/>
    </xf>
    <xf numFmtId="0" fontId="6" fillId="33" borderId="0" xfId="0" applyFont="1" applyFill="1" applyAlignment="1">
      <alignment horizontal="center" vertical="center"/>
    </xf>
    <xf numFmtId="165" fontId="111" fillId="33" borderId="0" xfId="49" applyFont="1" applyFill="1" applyAlignment="1">
      <alignment horizontal="center" vertical="center"/>
    </xf>
    <xf numFmtId="0" fontId="111" fillId="33" borderId="0" xfId="0" applyFont="1" applyFill="1" applyAlignment="1">
      <alignment horizontal="center" vertical="center"/>
    </xf>
    <xf numFmtId="170" fontId="128" fillId="33" borderId="0" xfId="49" applyNumberFormat="1" applyFont="1" applyFill="1" applyAlignment="1">
      <alignment horizontal="center"/>
    </xf>
    <xf numFmtId="170" fontId="128" fillId="33" borderId="0" xfId="49" applyNumberFormat="1" applyFont="1" applyFill="1" applyBorder="1" applyAlignment="1">
      <alignment horizontal="center"/>
    </xf>
    <xf numFmtId="0" fontId="95" fillId="0" borderId="0" xfId="46" applyAlignment="1">
      <alignment horizontal="center"/>
    </xf>
    <xf numFmtId="165" fontId="107" fillId="33" borderId="0" xfId="49" applyFont="1" applyFill="1" applyAlignment="1">
      <alignment horizontal="center" vertical="center"/>
    </xf>
    <xf numFmtId="167" fontId="107" fillId="33" borderId="0" xfId="49" applyNumberFormat="1" applyFont="1" applyFill="1" applyAlignment="1">
      <alignment horizontal="center" vertical="center"/>
    </xf>
    <xf numFmtId="167" fontId="4" fillId="33" borderId="0" xfId="49" applyNumberFormat="1" applyFont="1" applyFill="1" applyAlignment="1">
      <alignment horizontal="center" vertical="center"/>
    </xf>
    <xf numFmtId="0" fontId="112" fillId="0" borderId="0" xfId="0" applyFont="1" applyAlignment="1">
      <alignment horizontal="center"/>
    </xf>
    <xf numFmtId="0" fontId="11" fillId="0" borderId="33" xfId="0" applyFont="1" applyBorder="1" applyAlignment="1">
      <alignment vertical="center" wrapText="1"/>
    </xf>
    <xf numFmtId="0" fontId="11" fillId="0" borderId="34" xfId="0" applyFont="1" applyBorder="1" applyAlignment="1">
      <alignment vertical="center" wrapText="1"/>
    </xf>
    <xf numFmtId="0" fontId="3" fillId="0" borderId="35" xfId="0" applyFont="1" applyBorder="1" applyAlignment="1">
      <alignment vertical="center" wrapText="1"/>
    </xf>
    <xf numFmtId="0" fontId="0" fillId="33" borderId="0" xfId="0" applyFill="1" applyAlignment="1" quotePrefix="1">
      <alignment/>
    </xf>
    <xf numFmtId="0" fontId="120" fillId="33" borderId="0" xfId="0" applyFont="1" applyFill="1" applyBorder="1" applyAlignment="1">
      <alignment horizontal="left"/>
    </xf>
    <xf numFmtId="0" fontId="4" fillId="0" borderId="15" xfId="0" applyFont="1" applyFill="1" applyBorder="1" applyAlignment="1">
      <alignment horizontal="left" vertical="justify" wrapText="1"/>
    </xf>
    <xf numFmtId="0" fontId="4" fillId="0" borderId="0" xfId="0" applyFont="1" applyFill="1" applyBorder="1" applyAlignment="1">
      <alignment horizontal="left" vertical="justify" wrapText="1"/>
    </xf>
    <xf numFmtId="0" fontId="4" fillId="0" borderId="16" xfId="0" applyFont="1" applyFill="1" applyBorder="1" applyAlignment="1">
      <alignment horizontal="left" vertical="justify" wrapText="1"/>
    </xf>
    <xf numFmtId="0" fontId="107" fillId="0" borderId="15" xfId="0" applyFont="1" applyFill="1" applyBorder="1" applyAlignment="1">
      <alignment horizontal="justify" vertical="justify" wrapText="1"/>
    </xf>
    <xf numFmtId="0" fontId="107" fillId="0" borderId="0" xfId="0" applyFont="1" applyFill="1" applyBorder="1" applyAlignment="1">
      <alignment horizontal="justify" vertical="justify" wrapText="1"/>
    </xf>
    <xf numFmtId="0" fontId="107" fillId="0" borderId="16" xfId="0" applyFont="1" applyFill="1" applyBorder="1" applyAlignment="1">
      <alignment horizontal="justify" vertical="justify" wrapText="1"/>
    </xf>
    <xf numFmtId="0" fontId="0" fillId="0" borderId="0" xfId="0" applyAlignment="1">
      <alignment/>
    </xf>
    <xf numFmtId="168" fontId="107" fillId="0" borderId="10" xfId="49" applyNumberFormat="1" applyFont="1" applyFill="1" applyBorder="1" applyAlignment="1">
      <alignment/>
    </xf>
    <xf numFmtId="0" fontId="2" fillId="38" borderId="0" xfId="0" applyFont="1" applyFill="1" applyAlignment="1">
      <alignment/>
    </xf>
    <xf numFmtId="0" fontId="107" fillId="33" borderId="10" xfId="0" applyFont="1" applyFill="1" applyBorder="1" applyAlignment="1">
      <alignment/>
    </xf>
    <xf numFmtId="0" fontId="107" fillId="33" borderId="10" xfId="0" applyFont="1" applyFill="1" applyBorder="1" applyAlignment="1">
      <alignment horizontal="center"/>
    </xf>
    <xf numFmtId="0" fontId="107" fillId="33" borderId="36" xfId="0" applyFont="1" applyFill="1" applyBorder="1" applyAlignment="1">
      <alignment/>
    </xf>
    <xf numFmtId="0" fontId="107" fillId="0" borderId="0" xfId="0" applyFont="1" applyAlignment="1">
      <alignment horizontal="left"/>
    </xf>
    <xf numFmtId="0" fontId="2" fillId="33" borderId="0" xfId="76" applyFont="1" applyFill="1" applyBorder="1" applyAlignment="1" quotePrefix="1">
      <alignment/>
      <protection/>
    </xf>
    <xf numFmtId="0" fontId="129" fillId="0" borderId="10" xfId="0" applyFont="1" applyBorder="1" applyAlignment="1">
      <alignment horizontal="center" vertical="center" wrapText="1"/>
    </xf>
    <xf numFmtId="0" fontId="120" fillId="0" borderId="0" xfId="0" applyFont="1" applyFill="1" applyAlignment="1">
      <alignment vertical="center"/>
    </xf>
    <xf numFmtId="0" fontId="120" fillId="38" borderId="0" xfId="0" applyFont="1" applyFill="1" applyBorder="1" applyAlignment="1">
      <alignment vertical="center"/>
    </xf>
    <xf numFmtId="164" fontId="0" fillId="33" borderId="20" xfId="50" applyFont="1" applyFill="1" applyBorder="1" applyAlignment="1">
      <alignment/>
    </xf>
    <xf numFmtId="164" fontId="0" fillId="38" borderId="20" xfId="50" applyFont="1" applyFill="1" applyBorder="1" applyAlignment="1">
      <alignment/>
    </xf>
    <xf numFmtId="0" fontId="130" fillId="33" borderId="0" xfId="0" applyFont="1" applyFill="1" applyAlignment="1">
      <alignment/>
    </xf>
    <xf numFmtId="164" fontId="107" fillId="0" borderId="20" xfId="50" applyFont="1" applyBorder="1" applyAlignment="1">
      <alignment vertical="top" wrapText="1"/>
    </xf>
    <xf numFmtId="164" fontId="0" fillId="0" borderId="20" xfId="50" applyFont="1" applyBorder="1" applyAlignment="1">
      <alignment/>
    </xf>
    <xf numFmtId="0" fontId="109" fillId="38" borderId="0" xfId="0" applyFont="1" applyFill="1" applyBorder="1" applyAlignment="1" quotePrefix="1">
      <alignment/>
    </xf>
    <xf numFmtId="0" fontId="91" fillId="0" borderId="0" xfId="0" applyFont="1" applyFill="1" applyAlignment="1">
      <alignment horizontal="center" vertical="center"/>
    </xf>
    <xf numFmtId="0" fontId="0" fillId="0" borderId="0" xfId="0" applyAlignment="1">
      <alignment/>
    </xf>
    <xf numFmtId="0" fontId="107" fillId="0" borderId="0" xfId="0" applyFont="1" applyFill="1" applyAlignment="1">
      <alignment horizontal="left" vertical="justify" wrapText="1"/>
    </xf>
    <xf numFmtId="0" fontId="110" fillId="0" borderId="15" xfId="0" applyFont="1" applyFill="1" applyBorder="1" applyAlignment="1">
      <alignment horizontal="justify" vertical="justify" wrapText="1"/>
    </xf>
    <xf numFmtId="0" fontId="110" fillId="0" borderId="0" xfId="0" applyFont="1" applyFill="1" applyBorder="1" applyAlignment="1">
      <alignment horizontal="justify" vertical="justify" wrapText="1"/>
    </xf>
    <xf numFmtId="0" fontId="110" fillId="0" borderId="16" xfId="0" applyFont="1" applyFill="1" applyBorder="1" applyAlignment="1">
      <alignment horizontal="justify" vertical="justify" wrapText="1"/>
    </xf>
    <xf numFmtId="0" fontId="107" fillId="0" borderId="15" xfId="0" applyFont="1" applyFill="1" applyBorder="1" applyAlignment="1">
      <alignment horizontal="justify" vertical="justify" wrapText="1"/>
    </xf>
    <xf numFmtId="0" fontId="107" fillId="0" borderId="0" xfId="0" applyFont="1" applyFill="1" applyBorder="1" applyAlignment="1">
      <alignment horizontal="justify" vertical="justify" wrapText="1"/>
    </xf>
    <xf numFmtId="0" fontId="107" fillId="0" borderId="16" xfId="0" applyFont="1" applyFill="1" applyBorder="1" applyAlignment="1">
      <alignment horizontal="justify" vertical="justify" wrapText="1"/>
    </xf>
    <xf numFmtId="0" fontId="107" fillId="34" borderId="0" xfId="0" applyFont="1" applyFill="1" applyAlignment="1">
      <alignment horizontal="left"/>
    </xf>
    <xf numFmtId="0" fontId="131" fillId="0" borderId="0" xfId="46" applyFont="1" applyBorder="1" applyAlignment="1" quotePrefix="1">
      <alignment horizontal="left"/>
    </xf>
    <xf numFmtId="0" fontId="0" fillId="38" borderId="0" xfId="0" applyFill="1" applyBorder="1" applyAlignment="1">
      <alignment/>
    </xf>
    <xf numFmtId="0" fontId="0" fillId="0" borderId="0" xfId="0" applyFill="1" applyAlignment="1">
      <alignment vertical="justify" wrapText="1"/>
    </xf>
    <xf numFmtId="0" fontId="0" fillId="38" borderId="16" xfId="0" applyFill="1" applyBorder="1" applyAlignment="1">
      <alignment/>
    </xf>
    <xf numFmtId="0" fontId="106" fillId="38" borderId="0" xfId="0" applyFont="1" applyFill="1" applyBorder="1" applyAlignment="1">
      <alignment/>
    </xf>
    <xf numFmtId="0" fontId="132" fillId="38" borderId="0" xfId="0" applyFont="1" applyFill="1" applyBorder="1" applyAlignment="1">
      <alignment/>
    </xf>
    <xf numFmtId="0" fontId="133" fillId="38" borderId="15" xfId="0" applyFont="1" applyFill="1" applyBorder="1" applyAlignment="1">
      <alignment/>
    </xf>
    <xf numFmtId="0" fontId="132" fillId="38" borderId="16" xfId="0" applyFont="1" applyFill="1" applyBorder="1" applyAlignment="1">
      <alignment/>
    </xf>
    <xf numFmtId="0" fontId="133" fillId="38" borderId="0" xfId="0" applyFont="1" applyFill="1" applyAlignment="1">
      <alignment/>
    </xf>
    <xf numFmtId="0" fontId="134" fillId="0" borderId="0" xfId="0" applyFont="1" applyAlignment="1">
      <alignment horizontal="justify" vertical="center"/>
    </xf>
    <xf numFmtId="0" fontId="120" fillId="35" borderId="0" xfId="0" applyFont="1" applyFill="1" applyAlignment="1">
      <alignment/>
    </xf>
    <xf numFmtId="0" fontId="120" fillId="0" borderId="0" xfId="0" applyFont="1" applyFill="1" applyAlignment="1">
      <alignment/>
    </xf>
    <xf numFmtId="0" fontId="134" fillId="0" borderId="0" xfId="0" applyFont="1" applyAlignment="1">
      <alignment vertical="center"/>
    </xf>
    <xf numFmtId="0" fontId="135" fillId="0" borderId="10" xfId="0" applyFont="1" applyBorder="1" applyAlignment="1">
      <alignment horizontal="justify" vertical="center" wrapText="1"/>
    </xf>
    <xf numFmtId="0" fontId="135" fillId="0" borderId="10" xfId="0" applyFont="1" applyBorder="1" applyAlignment="1">
      <alignment horizontal="center" vertical="center" wrapText="1"/>
    </xf>
    <xf numFmtId="0" fontId="135" fillId="0" borderId="10" xfId="0" applyFont="1" applyBorder="1" applyAlignment="1">
      <alignment horizontal="right" vertical="center" wrapText="1"/>
    </xf>
    <xf numFmtId="0" fontId="136" fillId="35" borderId="10" xfId="0" applyFont="1" applyFill="1" applyBorder="1" applyAlignment="1">
      <alignment horizontal="justify" vertical="center" wrapText="1"/>
    </xf>
    <xf numFmtId="0" fontId="137" fillId="35" borderId="10" xfId="0" applyFont="1" applyFill="1" applyBorder="1" applyAlignment="1">
      <alignment horizontal="right" vertical="center" wrapText="1"/>
    </xf>
    <xf numFmtId="0" fontId="137" fillId="35" borderId="10" xfId="0" applyFont="1" applyFill="1" applyBorder="1" applyAlignment="1">
      <alignment horizontal="center" vertical="center" wrapText="1"/>
    </xf>
    <xf numFmtId="0" fontId="135" fillId="38" borderId="0" xfId="0" applyFont="1" applyFill="1" applyAlignment="1">
      <alignment vertical="center" wrapText="1"/>
    </xf>
    <xf numFmtId="0" fontId="135" fillId="38" borderId="0" xfId="0" applyFont="1" applyFill="1" applyAlignment="1">
      <alignment vertical="center"/>
    </xf>
    <xf numFmtId="0" fontId="14" fillId="38" borderId="0" xfId="0" applyFont="1" applyFill="1" applyAlignment="1">
      <alignment vertical="center" wrapText="1"/>
    </xf>
    <xf numFmtId="0" fontId="61" fillId="33" borderId="0" xfId="0" applyFont="1" applyFill="1" applyAlignment="1">
      <alignment vertical="center" wrapText="1"/>
    </xf>
    <xf numFmtId="0" fontId="0" fillId="0" borderId="0" xfId="0" applyAlignment="1">
      <alignment/>
    </xf>
    <xf numFmtId="0" fontId="130" fillId="33" borderId="0" xfId="0" applyFont="1" applyFill="1" applyAlignment="1">
      <alignment horizontal="center"/>
    </xf>
    <xf numFmtId="0" fontId="0" fillId="38" borderId="36" xfId="0" applyFill="1" applyBorder="1" applyAlignment="1">
      <alignment horizontal="center" vertical="center" wrapText="1"/>
    </xf>
    <xf numFmtId="0" fontId="0" fillId="0" borderId="0" xfId="0" applyAlignment="1">
      <alignment/>
    </xf>
    <xf numFmtId="0" fontId="130" fillId="33" borderId="0" xfId="0" applyFont="1" applyFill="1" applyAlignment="1">
      <alignment horizontal="center"/>
    </xf>
    <xf numFmtId="0" fontId="120" fillId="36" borderId="0" xfId="0" applyFont="1" applyFill="1" applyAlignment="1">
      <alignment horizontal="center" vertical="center" wrapText="1"/>
    </xf>
    <xf numFmtId="0" fontId="108" fillId="38" borderId="0" xfId="0" applyFont="1" applyFill="1" applyAlignment="1">
      <alignment horizontal="center" vertical="center" wrapText="1"/>
    </xf>
    <xf numFmtId="0" fontId="106" fillId="38" borderId="0" xfId="0" applyFont="1" applyFill="1" applyAlignment="1">
      <alignment horizontal="center" vertical="center"/>
    </xf>
    <xf numFmtId="0" fontId="4" fillId="33" borderId="0" xfId="0" applyFont="1" applyFill="1" applyBorder="1" applyAlignment="1">
      <alignment vertical="center"/>
    </xf>
    <xf numFmtId="0" fontId="107" fillId="0" borderId="0" xfId="0" applyFont="1" applyBorder="1" applyAlignment="1">
      <alignment/>
    </xf>
    <xf numFmtId="169" fontId="2" fillId="33" borderId="0" xfId="49" applyNumberFormat="1" applyFont="1" applyFill="1" applyBorder="1" applyAlignment="1">
      <alignment/>
    </xf>
    <xf numFmtId="0" fontId="126" fillId="35" borderId="0" xfId="49" applyNumberFormat="1" applyFont="1" applyFill="1" applyAlignment="1">
      <alignment horizontal="center"/>
    </xf>
    <xf numFmtId="0" fontId="0" fillId="38" borderId="36" xfId="0" applyFill="1" applyBorder="1" applyAlignment="1">
      <alignment vertical="center" wrapText="1"/>
    </xf>
    <xf numFmtId="0" fontId="0" fillId="38" borderId="10" xfId="0" applyFill="1" applyBorder="1" applyAlignment="1">
      <alignment vertical="center" wrapText="1"/>
    </xf>
    <xf numFmtId="0" fontId="14" fillId="38" borderId="0" xfId="0" applyFont="1" applyFill="1" applyAlignment="1">
      <alignment horizontal="center"/>
    </xf>
    <xf numFmtId="0" fontId="138" fillId="38" borderId="0" xfId="0" applyFont="1" applyFill="1" applyAlignment="1">
      <alignment horizontal="center"/>
    </xf>
    <xf numFmtId="0" fontId="139" fillId="0" borderId="10" xfId="0" applyFont="1" applyBorder="1" applyAlignment="1">
      <alignment horizontal="center" vertical="center" wrapText="1"/>
    </xf>
    <xf numFmtId="0" fontId="0" fillId="0" borderId="0" xfId="0" applyAlignment="1">
      <alignment horizontal="center"/>
    </xf>
    <xf numFmtId="0" fontId="120" fillId="35" borderId="0" xfId="0" applyFont="1" applyFill="1" applyAlignment="1">
      <alignment vertical="center"/>
    </xf>
    <xf numFmtId="0" fontId="107" fillId="0" borderId="0" xfId="0" applyFont="1" applyAlignment="1">
      <alignment/>
    </xf>
    <xf numFmtId="0" fontId="4" fillId="33" borderId="12" xfId="76" applyFont="1" applyFill="1" applyBorder="1" applyAlignment="1">
      <alignment horizontal="center"/>
      <protection/>
    </xf>
    <xf numFmtId="0" fontId="140" fillId="33" borderId="0" xfId="0" applyFont="1" applyFill="1" applyAlignment="1">
      <alignment/>
    </xf>
    <xf numFmtId="0" fontId="2" fillId="33" borderId="0" xfId="76" applyFont="1" applyFill="1" applyAlignment="1">
      <alignment horizontal="center"/>
      <protection/>
    </xf>
    <xf numFmtId="0" fontId="111" fillId="0" borderId="0" xfId="0" applyFont="1" applyAlignment="1">
      <alignment horizontal="center" vertical="center"/>
    </xf>
    <xf numFmtId="0" fontId="107" fillId="0" borderId="37" xfId="0" applyFont="1" applyBorder="1" applyAlignment="1">
      <alignment/>
    </xf>
    <xf numFmtId="0" fontId="4" fillId="33" borderId="20" xfId="0" applyFont="1" applyFill="1" applyBorder="1" applyAlignment="1">
      <alignment horizontal="center" vertical="center"/>
    </xf>
    <xf numFmtId="0" fontId="4" fillId="33" borderId="15" xfId="0" applyFont="1" applyFill="1" applyBorder="1" applyAlignment="1">
      <alignment vertical="center"/>
    </xf>
    <xf numFmtId="0" fontId="107" fillId="0" borderId="15" xfId="0" applyFont="1" applyBorder="1" applyAlignment="1">
      <alignment/>
    </xf>
    <xf numFmtId="0" fontId="107" fillId="0" borderId="17" xfId="0" applyFont="1" applyBorder="1" applyAlignment="1">
      <alignment/>
    </xf>
    <xf numFmtId="0" fontId="108" fillId="0" borderId="36" xfId="0" applyFont="1" applyBorder="1" applyAlignment="1">
      <alignment horizontal="center" vertical="center"/>
    </xf>
    <xf numFmtId="0" fontId="108" fillId="0" borderId="21" xfId="0" applyFont="1" applyBorder="1" applyAlignment="1">
      <alignment horizontal="center" vertical="center"/>
    </xf>
    <xf numFmtId="0" fontId="95" fillId="0" borderId="21" xfId="46" applyBorder="1" applyAlignment="1">
      <alignment horizontal="center"/>
    </xf>
    <xf numFmtId="0" fontId="95" fillId="0" borderId="21" xfId="46" applyBorder="1" applyAlignment="1" quotePrefix="1">
      <alignment horizontal="center"/>
    </xf>
    <xf numFmtId="0" fontId="131" fillId="0" borderId="21" xfId="46" applyFont="1" applyBorder="1" applyAlignment="1" quotePrefix="1">
      <alignment horizontal="center"/>
    </xf>
    <xf numFmtId="1" fontId="126" fillId="35" borderId="0" xfId="49" applyNumberFormat="1" applyFont="1" applyFill="1" applyAlignment="1">
      <alignment horizontal="center"/>
    </xf>
    <xf numFmtId="167" fontId="95" fillId="0" borderId="0" xfId="46" applyNumberFormat="1" applyAlignment="1">
      <alignment horizontal="center" vertical="center"/>
    </xf>
    <xf numFmtId="0" fontId="141" fillId="35" borderId="0" xfId="0" applyFont="1" applyFill="1" applyAlignment="1">
      <alignment vertical="center"/>
    </xf>
    <xf numFmtId="0" fontId="91" fillId="36" borderId="0" xfId="0" applyFont="1" applyFill="1" applyAlignment="1">
      <alignment/>
    </xf>
    <xf numFmtId="0" fontId="142" fillId="0" borderId="0" xfId="0" applyFont="1" applyAlignment="1">
      <alignment/>
    </xf>
    <xf numFmtId="0" fontId="140" fillId="38" borderId="0" xfId="0" applyFont="1" applyFill="1" applyAlignment="1">
      <alignment horizontal="left" vertical="top" wrapText="1"/>
    </xf>
    <xf numFmtId="0" fontId="0" fillId="0" borderId="12" xfId="0" applyBorder="1" applyAlignment="1">
      <alignment/>
    </xf>
    <xf numFmtId="0" fontId="0" fillId="0" borderId="12" xfId="0" applyBorder="1" applyAlignment="1">
      <alignment horizontal="center"/>
    </xf>
    <xf numFmtId="0" fontId="0" fillId="38" borderId="0" xfId="0" applyFont="1" applyFill="1" applyAlignment="1">
      <alignment horizontal="left" vertical="center"/>
    </xf>
    <xf numFmtId="0" fontId="0" fillId="38" borderId="0" xfId="0" applyFont="1" applyFill="1" applyAlignment="1">
      <alignment/>
    </xf>
    <xf numFmtId="0" fontId="106" fillId="38" borderId="12" xfId="0" applyFont="1" applyFill="1" applyBorder="1" applyAlignment="1">
      <alignment/>
    </xf>
    <xf numFmtId="0" fontId="0" fillId="0" borderId="0" xfId="0" applyAlignment="1">
      <alignment/>
    </xf>
    <xf numFmtId="0" fontId="132" fillId="38" borderId="0" xfId="0" applyFont="1" applyFill="1" applyAlignment="1">
      <alignment horizontal="center"/>
    </xf>
    <xf numFmtId="0" fontId="120" fillId="35" borderId="37" xfId="0" applyFont="1" applyFill="1" applyBorder="1" applyAlignment="1">
      <alignment vertical="center"/>
    </xf>
    <xf numFmtId="0" fontId="120" fillId="35" borderId="20" xfId="0" applyFont="1" applyFill="1" applyBorder="1" applyAlignment="1">
      <alignment vertical="center"/>
    </xf>
    <xf numFmtId="0" fontId="120" fillId="35" borderId="38" xfId="0" applyFont="1" applyFill="1" applyBorder="1" applyAlignment="1">
      <alignment vertical="center"/>
    </xf>
    <xf numFmtId="0" fontId="120" fillId="35" borderId="0" xfId="0" applyFont="1" applyFill="1" applyBorder="1" applyAlignment="1">
      <alignment vertical="center"/>
    </xf>
    <xf numFmtId="0" fontId="108" fillId="0" borderId="0" xfId="0" applyFont="1" applyBorder="1" applyAlignment="1">
      <alignment vertical="center"/>
    </xf>
    <xf numFmtId="0" fontId="0" fillId="0" borderId="0" xfId="0" applyAlignment="1">
      <alignment/>
    </xf>
    <xf numFmtId="0" fontId="120" fillId="35" borderId="0" xfId="0" applyFont="1" applyFill="1" applyAlignment="1">
      <alignment horizontal="center" vertical="center" wrapText="1"/>
    </xf>
    <xf numFmtId="0" fontId="120" fillId="35" borderId="0" xfId="0" applyFont="1" applyFill="1" applyBorder="1" applyAlignment="1">
      <alignment horizontal="left" vertical="center"/>
    </xf>
    <xf numFmtId="0" fontId="135" fillId="0" borderId="10" xfId="0" applyFont="1" applyBorder="1" applyAlignment="1">
      <alignment horizontal="justify" vertical="center" wrapText="1"/>
    </xf>
    <xf numFmtId="0" fontId="142" fillId="33" borderId="0" xfId="0" applyFont="1" applyFill="1" applyAlignment="1">
      <alignment/>
    </xf>
    <xf numFmtId="0" fontId="142" fillId="0" borderId="0" xfId="0" applyFont="1" applyBorder="1" applyAlignment="1">
      <alignment/>
    </xf>
    <xf numFmtId="3" fontId="107" fillId="0" borderId="0" xfId="50" applyNumberFormat="1" applyFont="1" applyFill="1" applyAlignment="1">
      <alignment horizontal="center"/>
    </xf>
    <xf numFmtId="3" fontId="107" fillId="0" borderId="0" xfId="49" applyNumberFormat="1" applyFont="1" applyFill="1" applyAlignment="1">
      <alignment horizontal="center"/>
    </xf>
    <xf numFmtId="3" fontId="107" fillId="0" borderId="0" xfId="0" applyNumberFormat="1" applyFont="1" applyFill="1" applyAlignment="1">
      <alignment horizontal="center"/>
    </xf>
    <xf numFmtId="3" fontId="4" fillId="0" borderId="0" xfId="0" applyNumberFormat="1" applyFont="1" applyFill="1" applyAlignment="1">
      <alignment horizontal="center"/>
    </xf>
    <xf numFmtId="3" fontId="108" fillId="0" borderId="0" xfId="49" applyNumberFormat="1" applyFont="1" applyFill="1" applyAlignment="1">
      <alignment horizontal="center"/>
    </xf>
    <xf numFmtId="3" fontId="4" fillId="0" borderId="0" xfId="49" applyNumberFormat="1" applyFont="1" applyFill="1" applyBorder="1" applyAlignment="1">
      <alignment horizontal="center"/>
    </xf>
    <xf numFmtId="3" fontId="4" fillId="0" borderId="0" xfId="49" applyNumberFormat="1" applyFont="1" applyFill="1" applyAlignment="1">
      <alignment horizontal="center"/>
    </xf>
    <xf numFmtId="0" fontId="14" fillId="38" borderId="0" xfId="0" applyFont="1" applyFill="1" applyBorder="1" applyAlignment="1">
      <alignment/>
    </xf>
    <xf numFmtId="0" fontId="11" fillId="38" borderId="0" xfId="0" applyFont="1" applyFill="1" applyBorder="1" applyAlignment="1">
      <alignment vertical="center" wrapText="1"/>
    </xf>
    <xf numFmtId="0" fontId="11" fillId="38" borderId="0" xfId="0" applyFont="1" applyFill="1" applyBorder="1" applyAlignment="1">
      <alignment horizontal="center" vertical="center" wrapText="1"/>
    </xf>
    <xf numFmtId="0" fontId="13" fillId="0" borderId="39" xfId="0" applyFont="1" applyBorder="1" applyAlignment="1">
      <alignment vertical="center" wrapText="1"/>
    </xf>
    <xf numFmtId="9" fontId="143" fillId="38" borderId="0" xfId="140" applyFont="1" applyFill="1" applyBorder="1" applyAlignment="1">
      <alignment/>
    </xf>
    <xf numFmtId="164" fontId="109" fillId="38" borderId="20" xfId="50" applyFont="1" applyFill="1" applyBorder="1" applyAlignment="1">
      <alignment horizontal="center"/>
    </xf>
    <xf numFmtId="169" fontId="109" fillId="38" borderId="0" xfId="53" applyNumberFormat="1" applyFont="1" applyFill="1" applyBorder="1" applyAlignment="1">
      <alignment horizontal="center"/>
    </xf>
    <xf numFmtId="0" fontId="143" fillId="38" borderId="0" xfId="0" applyFont="1" applyFill="1" applyBorder="1" applyAlignment="1">
      <alignment/>
    </xf>
    <xf numFmtId="0" fontId="144" fillId="38" borderId="0" xfId="0" applyFont="1" applyFill="1" applyBorder="1" applyAlignment="1">
      <alignment/>
    </xf>
    <xf numFmtId="0" fontId="101" fillId="38" borderId="0" xfId="0" applyFont="1" applyFill="1" applyAlignment="1">
      <alignment wrapText="1"/>
    </xf>
    <xf numFmtId="0" fontId="61" fillId="38" borderId="0" xfId="0" applyFont="1" applyFill="1" applyAlignment="1">
      <alignment wrapText="1"/>
    </xf>
    <xf numFmtId="0" fontId="14" fillId="38" borderId="0" xfId="0" applyFont="1" applyFill="1" applyAlignment="1">
      <alignment horizontal="center" wrapText="1"/>
    </xf>
    <xf numFmtId="3" fontId="14" fillId="38" borderId="0" xfId="0" applyNumberFormat="1" applyFont="1" applyFill="1" applyAlignment="1">
      <alignment horizontal="center"/>
    </xf>
    <xf numFmtId="0" fontId="15" fillId="38" borderId="0" xfId="0" applyFont="1" applyFill="1" applyAlignment="1">
      <alignment wrapText="1"/>
    </xf>
    <xf numFmtId="0" fontId="15" fillId="38" borderId="0" xfId="0" applyFont="1" applyFill="1" applyAlignment="1">
      <alignment horizontal="center" wrapText="1"/>
    </xf>
    <xf numFmtId="0" fontId="9" fillId="0" borderId="0" xfId="0" applyFont="1" applyAlignment="1">
      <alignment/>
    </xf>
    <xf numFmtId="0" fontId="141" fillId="0" borderId="0" xfId="0" applyFont="1" applyFill="1" applyAlignment="1">
      <alignment/>
    </xf>
    <xf numFmtId="0" fontId="145" fillId="0" borderId="0" xfId="0" applyFont="1" applyAlignment="1">
      <alignment/>
    </xf>
    <xf numFmtId="0" fontId="107" fillId="33" borderId="40" xfId="0" applyFont="1" applyFill="1" applyBorder="1" applyAlignment="1">
      <alignment/>
    </xf>
    <xf numFmtId="0" fontId="108" fillId="33" borderId="37" xfId="0" applyFont="1" applyFill="1" applyBorder="1" applyAlignment="1">
      <alignment vertical="center"/>
    </xf>
    <xf numFmtId="0" fontId="108" fillId="33" borderId="11" xfId="0" applyFont="1" applyFill="1" applyBorder="1" applyAlignment="1">
      <alignment vertical="center"/>
    </xf>
    <xf numFmtId="14" fontId="108" fillId="33" borderId="40" xfId="0" applyNumberFormat="1" applyFont="1" applyFill="1" applyBorder="1" applyAlignment="1">
      <alignment vertical="center"/>
    </xf>
    <xf numFmtId="0" fontId="107" fillId="33" borderId="20" xfId="0" applyFont="1" applyFill="1" applyBorder="1" applyAlignment="1">
      <alignment/>
    </xf>
    <xf numFmtId="0" fontId="107" fillId="0" borderId="0" xfId="0" applyFont="1" applyFill="1" applyBorder="1" applyAlignment="1">
      <alignment/>
    </xf>
    <xf numFmtId="0" fontId="107" fillId="0" borderId="10" xfId="0" applyFont="1" applyFill="1" applyBorder="1" applyAlignment="1">
      <alignment horizontal="center"/>
    </xf>
    <xf numFmtId="168" fontId="107" fillId="0" borderId="41" xfId="49" applyNumberFormat="1" applyFont="1" applyFill="1" applyBorder="1" applyAlignment="1">
      <alignment/>
    </xf>
    <xf numFmtId="168" fontId="107" fillId="33" borderId="40" xfId="49" applyNumberFormat="1" applyFont="1" applyFill="1" applyBorder="1" applyAlignment="1">
      <alignment/>
    </xf>
    <xf numFmtId="0" fontId="107" fillId="33" borderId="10" xfId="0" applyFont="1" applyFill="1" applyBorder="1" applyAlignment="1">
      <alignment wrapText="1"/>
    </xf>
    <xf numFmtId="168" fontId="107" fillId="33" borderId="18" xfId="49" applyNumberFormat="1" applyFont="1" applyFill="1" applyBorder="1" applyAlignment="1">
      <alignment/>
    </xf>
    <xf numFmtId="0" fontId="2" fillId="33" borderId="10" xfId="0" applyFont="1" applyFill="1" applyBorder="1" applyAlignment="1">
      <alignment/>
    </xf>
    <xf numFmtId="0" fontId="2" fillId="33" borderId="10" xfId="0" applyFont="1" applyFill="1" applyBorder="1" applyAlignment="1">
      <alignment wrapText="1"/>
    </xf>
    <xf numFmtId="168" fontId="107" fillId="33" borderId="11" xfId="49" applyNumberFormat="1" applyFont="1" applyFill="1" applyBorder="1" applyAlignment="1">
      <alignment vertical="center"/>
    </xf>
    <xf numFmtId="9" fontId="107" fillId="0" borderId="18" xfId="140" applyFont="1" applyFill="1" applyBorder="1" applyAlignment="1">
      <alignment horizontal="center"/>
    </xf>
    <xf numFmtId="9" fontId="107" fillId="0" borderId="40" xfId="140" applyFont="1" applyFill="1" applyBorder="1" applyAlignment="1">
      <alignment horizontal="center"/>
    </xf>
    <xf numFmtId="0" fontId="140" fillId="33" borderId="11" xfId="0" applyFont="1" applyFill="1" applyBorder="1" applyAlignment="1">
      <alignment/>
    </xf>
    <xf numFmtId="0" fontId="108" fillId="33" borderId="0" xfId="0" applyFont="1" applyFill="1" applyBorder="1" applyAlignment="1">
      <alignment vertical="center"/>
    </xf>
    <xf numFmtId="0" fontId="120" fillId="0" borderId="0" xfId="0" applyFont="1" applyFill="1" applyBorder="1" applyAlignment="1">
      <alignment vertical="center"/>
    </xf>
    <xf numFmtId="0" fontId="120" fillId="35" borderId="10" xfId="0" applyFont="1" applyFill="1" applyBorder="1" applyAlignment="1">
      <alignment horizontal="center" vertical="center"/>
    </xf>
    <xf numFmtId="0" fontId="0" fillId="0" borderId="0" xfId="0" applyAlignment="1">
      <alignment/>
    </xf>
    <xf numFmtId="0" fontId="120" fillId="35" borderId="12" xfId="76" applyNumberFormat="1" applyFont="1" applyFill="1" applyBorder="1" applyAlignment="1" quotePrefix="1">
      <alignment horizontal="center"/>
      <protection/>
    </xf>
    <xf numFmtId="0" fontId="120" fillId="35" borderId="0" xfId="0" applyFont="1" applyFill="1" applyBorder="1" applyAlignment="1">
      <alignment horizontal="center" vertical="center"/>
    </xf>
    <xf numFmtId="0" fontId="132" fillId="33" borderId="0" xfId="0" applyFont="1" applyFill="1" applyAlignment="1">
      <alignment/>
    </xf>
    <xf numFmtId="0" fontId="91" fillId="35" borderId="0" xfId="0" applyFont="1" applyFill="1" applyAlignment="1">
      <alignment horizontal="center"/>
    </xf>
    <xf numFmtId="0" fontId="91" fillId="35" borderId="0" xfId="0" applyFont="1" applyFill="1" applyAlignment="1">
      <alignment horizontal="center" vertical="center"/>
    </xf>
    <xf numFmtId="0" fontId="91" fillId="35" borderId="0" xfId="0" applyFont="1" applyFill="1" applyAlignment="1">
      <alignment vertical="center"/>
    </xf>
    <xf numFmtId="0" fontId="132" fillId="38" borderId="11" xfId="0" applyFont="1" applyFill="1" applyBorder="1" applyAlignment="1">
      <alignment/>
    </xf>
    <xf numFmtId="0" fontId="132" fillId="38" borderId="40" xfId="0" applyFont="1" applyFill="1" applyBorder="1" applyAlignment="1">
      <alignment/>
    </xf>
    <xf numFmtId="0" fontId="120" fillId="35" borderId="12" xfId="76" applyNumberFormat="1" applyFont="1" applyFill="1" applyBorder="1" applyAlignment="1" quotePrefix="1">
      <alignment horizontal="right"/>
      <protection/>
    </xf>
    <xf numFmtId="0" fontId="146" fillId="39" borderId="42" xfId="64" applyFont="1" applyFill="1" applyBorder="1" applyAlignment="1">
      <alignment vertical="center"/>
      <protection/>
    </xf>
    <xf numFmtId="0" fontId="11" fillId="39" borderId="42" xfId="64" applyFont="1" applyFill="1" applyBorder="1" applyAlignment="1">
      <alignment vertical="center"/>
      <protection/>
    </xf>
    <xf numFmtId="0" fontId="146" fillId="40" borderId="43" xfId="64" applyFont="1" applyFill="1" applyBorder="1" applyAlignment="1">
      <alignment horizontal="center" vertical="center" wrapText="1"/>
      <protection/>
    </xf>
    <xf numFmtId="0" fontId="146" fillId="40" borderId="44" xfId="64" applyFont="1" applyFill="1" applyBorder="1" applyAlignment="1">
      <alignment horizontal="center" vertical="center" wrapText="1"/>
      <protection/>
    </xf>
    <xf numFmtId="0" fontId="146" fillId="40" borderId="45" xfId="64" applyFont="1" applyFill="1" applyBorder="1" applyAlignment="1">
      <alignment horizontal="center" vertical="center"/>
      <protection/>
    </xf>
    <xf numFmtId="0" fontId="146" fillId="40" borderId="46" xfId="64" applyFont="1" applyFill="1" applyBorder="1" applyAlignment="1">
      <alignment vertical="center"/>
      <protection/>
    </xf>
    <xf numFmtId="0" fontId="146" fillId="40" borderId="46" xfId="64" applyFont="1" applyFill="1" applyBorder="1" applyAlignment="1">
      <alignment vertical="center" wrapText="1"/>
      <protection/>
    </xf>
    <xf numFmtId="0" fontId="146" fillId="40" borderId="47" xfId="64" applyFont="1" applyFill="1" applyBorder="1" applyAlignment="1">
      <alignment horizontal="center" vertical="center" wrapText="1"/>
      <protection/>
    </xf>
    <xf numFmtId="0" fontId="120" fillId="35" borderId="48" xfId="76" applyNumberFormat="1" applyFont="1" applyFill="1" applyBorder="1" applyAlignment="1" quotePrefix="1">
      <alignment horizontal="center"/>
      <protection/>
    </xf>
    <xf numFmtId="0" fontId="120" fillId="35" borderId="49" xfId="76" applyNumberFormat="1" applyFont="1" applyFill="1" applyBorder="1" applyAlignment="1" quotePrefix="1">
      <alignment horizontal="center"/>
      <protection/>
    </xf>
    <xf numFmtId="0" fontId="120" fillId="35" borderId="12" xfId="76" applyFont="1" applyFill="1" applyBorder="1" applyAlignment="1">
      <alignment horizontal="center"/>
      <protection/>
    </xf>
    <xf numFmtId="0" fontId="91" fillId="35" borderId="12" xfId="0" applyFont="1" applyFill="1" applyBorder="1" applyAlignment="1">
      <alignment horizontal="center" vertical="center"/>
    </xf>
    <xf numFmtId="0" fontId="91" fillId="35" borderId="0" xfId="0" applyFont="1" applyFill="1" applyAlignment="1">
      <alignment/>
    </xf>
    <xf numFmtId="0" fontId="120" fillId="0" borderId="0" xfId="0" applyFont="1" applyFill="1" applyAlignment="1">
      <alignment vertical="center" wrapText="1"/>
    </xf>
    <xf numFmtId="0" fontId="147" fillId="35" borderId="50" xfId="0" applyFont="1" applyFill="1" applyBorder="1" applyAlignment="1">
      <alignment horizontal="center" vertical="center" wrapText="1"/>
    </xf>
    <xf numFmtId="0" fontId="91" fillId="35" borderId="51" xfId="0" applyFont="1" applyFill="1" applyBorder="1" applyAlignment="1">
      <alignment/>
    </xf>
    <xf numFmtId="0" fontId="147" fillId="35" borderId="52" xfId="0" applyFont="1" applyFill="1" applyBorder="1" applyAlignment="1">
      <alignment horizontal="center" vertical="center" wrapText="1"/>
    </xf>
    <xf numFmtId="0" fontId="147" fillId="35" borderId="53" xfId="0" applyFont="1" applyFill="1" applyBorder="1" applyAlignment="1">
      <alignment vertical="center" wrapText="1"/>
    </xf>
    <xf numFmtId="0" fontId="147" fillId="35" borderId="52" xfId="0" applyFont="1" applyFill="1" applyBorder="1" applyAlignment="1">
      <alignment vertical="center" wrapText="1"/>
    </xf>
    <xf numFmtId="0" fontId="91" fillId="35" borderId="54" xfId="0" applyFont="1" applyFill="1" applyBorder="1" applyAlignment="1">
      <alignment/>
    </xf>
    <xf numFmtId="0" fontId="124" fillId="38" borderId="0" xfId="0" applyFont="1" applyFill="1" applyBorder="1" applyAlignment="1">
      <alignment horizontal="center"/>
    </xf>
    <xf numFmtId="0" fontId="120" fillId="35" borderId="0" xfId="0" applyFont="1" applyFill="1" applyBorder="1" applyAlignment="1">
      <alignment/>
    </xf>
    <xf numFmtId="9" fontId="144" fillId="38" borderId="0" xfId="140" applyFont="1" applyFill="1" applyBorder="1" applyAlignment="1">
      <alignment/>
    </xf>
    <xf numFmtId="0" fontId="14" fillId="38" borderId="55" xfId="0" applyFont="1" applyFill="1" applyBorder="1" applyAlignment="1">
      <alignment/>
    </xf>
    <xf numFmtId="0" fontId="4" fillId="0" borderId="0" xfId="0" applyFont="1" applyFill="1" applyAlignment="1">
      <alignment/>
    </xf>
    <xf numFmtId="167" fontId="126" fillId="35" borderId="0" xfId="49" applyNumberFormat="1" applyFont="1" applyFill="1" applyBorder="1" applyAlignment="1">
      <alignment/>
    </xf>
    <xf numFmtId="167" fontId="126" fillId="35" borderId="20" xfId="49" applyNumberFormat="1" applyFont="1" applyFill="1" applyBorder="1" applyAlignment="1">
      <alignment/>
    </xf>
    <xf numFmtId="167" fontId="120" fillId="35" borderId="0" xfId="49" applyNumberFormat="1" applyFont="1" applyFill="1" applyBorder="1" applyAlignment="1">
      <alignment/>
    </xf>
    <xf numFmtId="0" fontId="141" fillId="35" borderId="0" xfId="0" applyFont="1" applyFill="1" applyAlignment="1">
      <alignment/>
    </xf>
    <xf numFmtId="0" fontId="107" fillId="0" borderId="0" xfId="0" applyFont="1" applyFill="1" applyAlignment="1">
      <alignment horizontal="center"/>
    </xf>
    <xf numFmtId="0" fontId="95" fillId="0" borderId="0" xfId="46" applyAlignment="1">
      <alignment horizontal="right"/>
    </xf>
    <xf numFmtId="0" fontId="0" fillId="41" borderId="0" xfId="0" applyFont="1" applyFill="1" applyBorder="1" applyAlignment="1">
      <alignment/>
    </xf>
    <xf numFmtId="0" fontId="0" fillId="41" borderId="21" xfId="0" applyFont="1" applyFill="1" applyBorder="1" applyAlignment="1">
      <alignment/>
    </xf>
    <xf numFmtId="0" fontId="14" fillId="41" borderId="0" xfId="0" applyFont="1" applyFill="1" applyBorder="1" applyAlignment="1">
      <alignment/>
    </xf>
    <xf numFmtId="0" fontId="130" fillId="41" borderId="0" xfId="0" applyFont="1" applyFill="1" applyBorder="1" applyAlignment="1">
      <alignment/>
    </xf>
    <xf numFmtId="0" fontId="148" fillId="42" borderId="0" xfId="0" applyFont="1" applyFill="1" applyBorder="1" applyAlignment="1">
      <alignment/>
    </xf>
    <xf numFmtId="0" fontId="148" fillId="39" borderId="0" xfId="0" applyFont="1" applyFill="1" applyBorder="1" applyAlignment="1">
      <alignment/>
    </xf>
    <xf numFmtId="0" fontId="95" fillId="0" borderId="0" xfId="46" applyAlignment="1">
      <alignment horizontal="center" vertical="center"/>
    </xf>
    <xf numFmtId="0" fontId="95" fillId="0" borderId="41" xfId="46" applyBorder="1" applyAlignment="1">
      <alignment horizontal="center" vertical="center"/>
    </xf>
    <xf numFmtId="14" fontId="113" fillId="36" borderId="0" xfId="0" applyNumberFormat="1" applyFont="1" applyFill="1" applyAlignment="1">
      <alignment/>
    </xf>
    <xf numFmtId="0" fontId="113" fillId="36" borderId="0" xfId="0" applyFont="1" applyFill="1" applyAlignment="1">
      <alignment/>
    </xf>
    <xf numFmtId="0" fontId="108" fillId="0" borderId="0" xfId="0" applyFont="1" applyAlignment="1">
      <alignment horizontal="right"/>
    </xf>
    <xf numFmtId="0" fontId="107" fillId="0" borderId="12" xfId="0" applyFont="1" applyBorder="1" applyAlignment="1">
      <alignment/>
    </xf>
    <xf numFmtId="0" fontId="0" fillId="0" borderId="0" xfId="0" applyAlignment="1">
      <alignment/>
    </xf>
    <xf numFmtId="0" fontId="0" fillId="0" borderId="0" xfId="0" applyAlignment="1">
      <alignment/>
    </xf>
    <xf numFmtId="0" fontId="112" fillId="0" borderId="15" xfId="0" applyFont="1" applyBorder="1" applyAlignment="1">
      <alignment/>
    </xf>
    <xf numFmtId="0" fontId="112" fillId="0" borderId="0" xfId="0" applyFont="1" applyBorder="1" applyAlignment="1">
      <alignment/>
    </xf>
    <xf numFmtId="0" fontId="112" fillId="0" borderId="16" xfId="0" applyFont="1" applyBorder="1" applyAlignment="1">
      <alignment/>
    </xf>
    <xf numFmtId="0" fontId="149" fillId="0" borderId="0" xfId="0" applyFont="1" applyAlignment="1">
      <alignment/>
    </xf>
    <xf numFmtId="0" fontId="21" fillId="0" borderId="56" xfId="0" applyFont="1" applyBorder="1" applyAlignment="1">
      <alignment horizontal="centerContinuous"/>
    </xf>
    <xf numFmtId="0" fontId="21" fillId="0" borderId="57" xfId="0" applyFont="1" applyBorder="1" applyAlignment="1">
      <alignment horizontal="centerContinuous"/>
    </xf>
    <xf numFmtId="0" fontId="2" fillId="0" borderId="57" xfId="0" applyFont="1" applyBorder="1" applyAlignment="1">
      <alignment horizontal="centerContinuous"/>
    </xf>
    <xf numFmtId="0" fontId="2" fillId="0" borderId="58" xfId="0" applyFont="1" applyBorder="1" applyAlignment="1">
      <alignment horizontal="centerContinuous"/>
    </xf>
    <xf numFmtId="3" fontId="0" fillId="0" borderId="0" xfId="0" applyNumberFormat="1" applyAlignment="1">
      <alignment/>
    </xf>
    <xf numFmtId="0" fontId="21" fillId="0" borderId="59" xfId="0" applyFont="1" applyBorder="1" applyAlignment="1">
      <alignment horizontal="centerContinuous"/>
    </xf>
    <xf numFmtId="0" fontId="21" fillId="0" borderId="0" xfId="0" applyFont="1" applyBorder="1" applyAlignment="1">
      <alignment horizontal="centerContinuous"/>
    </xf>
    <xf numFmtId="0" fontId="2" fillId="0" borderId="0" xfId="0" applyFont="1" applyBorder="1" applyAlignment="1">
      <alignment horizontal="centerContinuous"/>
    </xf>
    <xf numFmtId="0" fontId="2" fillId="0" borderId="60" xfId="0" applyFont="1" applyBorder="1" applyAlignment="1">
      <alignment horizontal="centerContinuous"/>
    </xf>
    <xf numFmtId="0" fontId="8" fillId="0" borderId="59" xfId="0" applyFont="1" applyFill="1" applyBorder="1" applyAlignment="1">
      <alignment horizontal="centerContinuous"/>
    </xf>
    <xf numFmtId="0" fontId="21" fillId="0" borderId="0" xfId="0" applyFont="1" applyFill="1" applyBorder="1" applyAlignment="1">
      <alignment horizontal="centerContinuous"/>
    </xf>
    <xf numFmtId="0" fontId="22" fillId="0" borderId="0" xfId="0" applyFont="1" applyFill="1" applyBorder="1" applyAlignment="1">
      <alignment horizontal="centerContinuous"/>
    </xf>
    <xf numFmtId="0" fontId="2" fillId="0" borderId="60" xfId="0" applyFont="1" applyFill="1" applyBorder="1" applyAlignment="1">
      <alignment horizontal="centerContinuous"/>
    </xf>
    <xf numFmtId="0" fontId="2" fillId="0" borderId="59" xfId="0" applyFont="1" applyFill="1" applyBorder="1" applyAlignment="1">
      <alignment/>
    </xf>
    <xf numFmtId="0" fontId="2" fillId="0" borderId="0" xfId="0" applyFont="1" applyFill="1" applyBorder="1" applyAlignment="1">
      <alignment/>
    </xf>
    <xf numFmtId="0" fontId="2" fillId="0" borderId="60" xfId="0" applyFont="1" applyFill="1" applyBorder="1" applyAlignment="1">
      <alignment/>
    </xf>
    <xf numFmtId="3" fontId="7" fillId="0" borderId="0" xfId="0" applyNumberFormat="1" applyFont="1" applyAlignment="1">
      <alignment/>
    </xf>
    <xf numFmtId="0" fontId="7" fillId="0" borderId="59" xfId="0" applyFont="1" applyFill="1" applyBorder="1" applyAlignment="1">
      <alignment/>
    </xf>
    <xf numFmtId="0" fontId="7" fillId="0" borderId="0" xfId="0" applyFont="1" applyFill="1" applyBorder="1" applyAlignment="1">
      <alignment/>
    </xf>
    <xf numFmtId="0" fontId="7" fillId="0" borderId="60" xfId="0" applyFont="1" applyFill="1" applyBorder="1" applyAlignment="1">
      <alignment/>
    </xf>
    <xf numFmtId="0" fontId="7" fillId="0" borderId="61" xfId="0" applyFont="1" applyFill="1" applyBorder="1" applyAlignment="1">
      <alignment/>
    </xf>
    <xf numFmtId="0" fontId="7" fillId="0" borderId="12" xfId="0" applyFont="1" applyFill="1" applyBorder="1" applyAlignment="1">
      <alignment/>
    </xf>
    <xf numFmtId="0" fontId="7" fillId="0" borderId="62" xfId="0" applyFont="1" applyFill="1" applyBorder="1" applyAlignment="1">
      <alignment/>
    </xf>
    <xf numFmtId="0" fontId="7" fillId="0" borderId="59" xfId="0" applyFont="1" applyFill="1" applyBorder="1" applyAlignment="1">
      <alignment horizontal="justify" vertical="top"/>
    </xf>
    <xf numFmtId="0" fontId="7" fillId="0" borderId="0" xfId="0" applyFont="1" applyFill="1" applyBorder="1" applyAlignment="1">
      <alignment horizontal="justify" vertical="top"/>
    </xf>
    <xf numFmtId="0" fontId="7" fillId="0" borderId="60" xfId="0" applyFont="1" applyFill="1" applyBorder="1" applyAlignment="1">
      <alignment horizontal="justify" vertical="top"/>
    </xf>
    <xf numFmtId="0" fontId="7" fillId="0" borderId="59" xfId="0" applyFont="1" applyFill="1" applyBorder="1" applyAlignment="1">
      <alignment horizontal="center"/>
    </xf>
    <xf numFmtId="0" fontId="7" fillId="0" borderId="0" xfId="0" applyFont="1" applyFill="1" applyBorder="1" applyAlignment="1">
      <alignment horizontal="center"/>
    </xf>
    <xf numFmtId="0" fontId="7" fillId="0" borderId="60" xfId="0" applyFont="1" applyFill="1" applyBorder="1" applyAlignment="1">
      <alignment horizontal="center"/>
    </xf>
    <xf numFmtId="0" fontId="7" fillId="0" borderId="61" xfId="0" applyFont="1" applyFill="1" applyBorder="1" applyAlignment="1">
      <alignment horizontal="center"/>
    </xf>
    <xf numFmtId="0" fontId="7" fillId="0" borderId="12" xfId="0" applyFont="1" applyBorder="1" applyAlignment="1">
      <alignment horizontal="center"/>
    </xf>
    <xf numFmtId="0" fontId="7" fillId="0" borderId="12" xfId="0" applyFont="1" applyFill="1" applyBorder="1" applyAlignment="1">
      <alignment horizontal="center"/>
    </xf>
    <xf numFmtId="0" fontId="7" fillId="0" borderId="62" xfId="0" applyFont="1" applyFill="1" applyBorder="1" applyAlignment="1">
      <alignment horizontal="center"/>
    </xf>
    <xf numFmtId="3" fontId="7" fillId="0" borderId="59" xfId="0" applyNumberFormat="1" applyFont="1" applyFill="1" applyBorder="1" applyAlignment="1">
      <alignment horizontal="center"/>
    </xf>
    <xf numFmtId="179" fontId="7" fillId="0" borderId="0" xfId="50" applyNumberFormat="1" applyFont="1" applyBorder="1" applyAlignment="1">
      <alignment horizontal="center"/>
    </xf>
    <xf numFmtId="3" fontId="7" fillId="0" borderId="0" xfId="0" applyNumberFormat="1" applyFont="1" applyFill="1" applyBorder="1" applyAlignment="1">
      <alignment/>
    </xf>
    <xf numFmtId="3" fontId="7" fillId="0" borderId="60" xfId="0" applyNumberFormat="1" applyFont="1" applyFill="1" applyBorder="1" applyAlignment="1">
      <alignment horizontal="center"/>
    </xf>
    <xf numFmtId="3" fontId="9" fillId="0" borderId="59" xfId="0" applyNumberFormat="1" applyFont="1" applyFill="1" applyBorder="1" applyAlignment="1">
      <alignment horizontal="center"/>
    </xf>
    <xf numFmtId="179" fontId="9" fillId="0" borderId="0" xfId="50" applyNumberFormat="1" applyFont="1" applyBorder="1" applyAlignment="1">
      <alignment horizontal="center"/>
    </xf>
    <xf numFmtId="3" fontId="23" fillId="0" borderId="0" xfId="0" applyNumberFormat="1" applyFont="1" applyFill="1" applyBorder="1" applyAlignment="1">
      <alignment/>
    </xf>
    <xf numFmtId="3" fontId="23" fillId="0" borderId="60" xfId="0" applyNumberFormat="1" applyFont="1" applyFill="1" applyBorder="1" applyAlignment="1">
      <alignment horizontal="center"/>
    </xf>
    <xf numFmtId="0" fontId="7" fillId="0" borderId="63" xfId="0" applyFont="1" applyBorder="1" applyAlignment="1">
      <alignment/>
    </xf>
    <xf numFmtId="0" fontId="7" fillId="0" borderId="55" xfId="0" applyFont="1" applyBorder="1" applyAlignment="1">
      <alignment/>
    </xf>
    <xf numFmtId="3" fontId="7" fillId="0" borderId="55" xfId="0" applyNumberFormat="1" applyFont="1" applyBorder="1" applyAlignment="1">
      <alignment/>
    </xf>
    <xf numFmtId="3" fontId="7" fillId="0" borderId="64" xfId="0" applyNumberFormat="1" applyFont="1" applyBorder="1" applyAlignment="1">
      <alignment/>
    </xf>
    <xf numFmtId="0" fontId="25" fillId="0" borderId="0" xfId="0" applyFont="1" applyBorder="1" applyAlignment="1">
      <alignment/>
    </xf>
    <xf numFmtId="180" fontId="26" fillId="0" borderId="0" xfId="0" applyNumberFormat="1" applyFont="1" applyBorder="1" applyAlignment="1">
      <alignment/>
    </xf>
    <xf numFmtId="0" fontId="150" fillId="0" borderId="0" xfId="0" applyFont="1" applyFill="1" applyBorder="1" applyAlignment="1" applyProtection="1">
      <alignment/>
      <protection locked="0"/>
    </xf>
    <xf numFmtId="180" fontId="27" fillId="0" borderId="0" xfId="138" applyNumberFormat="1" applyFont="1" applyFill="1" applyBorder="1" applyAlignment="1">
      <alignment horizontal="left"/>
      <protection/>
    </xf>
    <xf numFmtId="0" fontId="0" fillId="0" borderId="15" xfId="0" applyBorder="1" applyAlignment="1">
      <alignment/>
    </xf>
    <xf numFmtId="0" fontId="0" fillId="0" borderId="0" xfId="0" applyFill="1" applyBorder="1" applyAlignment="1">
      <alignment/>
    </xf>
    <xf numFmtId="0" fontId="106" fillId="0" borderId="0" xfId="0" applyFont="1" applyAlignment="1">
      <alignment horizontal="center"/>
    </xf>
    <xf numFmtId="0" fontId="0" fillId="0" borderId="0" xfId="0" applyAlignment="1">
      <alignment/>
    </xf>
    <xf numFmtId="0" fontId="0" fillId="0" borderId="0" xfId="0" applyAlignment="1">
      <alignment horizontal="left"/>
    </xf>
    <xf numFmtId="0" fontId="0" fillId="38" borderId="0" xfId="0" applyFill="1" applyBorder="1" applyAlignment="1">
      <alignment horizontal="center"/>
    </xf>
    <xf numFmtId="3" fontId="107" fillId="33" borderId="10" xfId="0" applyNumberFormat="1" applyFont="1" applyFill="1" applyBorder="1" applyAlignment="1">
      <alignment/>
    </xf>
    <xf numFmtId="3" fontId="11" fillId="38" borderId="21" xfId="57" applyNumberFormat="1" applyFont="1" applyFill="1" applyBorder="1" applyAlignment="1">
      <alignment/>
    </xf>
    <xf numFmtId="3" fontId="2" fillId="33" borderId="0" xfId="49" applyNumberFormat="1" applyFont="1" applyFill="1" applyBorder="1" applyAlignment="1">
      <alignment/>
    </xf>
    <xf numFmtId="3" fontId="0" fillId="0" borderId="0" xfId="0" applyNumberFormat="1" applyBorder="1" applyAlignment="1">
      <alignment/>
    </xf>
    <xf numFmtId="3" fontId="0" fillId="0" borderId="0" xfId="0" applyNumberFormat="1" applyFill="1" applyBorder="1" applyAlignment="1">
      <alignment/>
    </xf>
    <xf numFmtId="3" fontId="2" fillId="33" borderId="14" xfId="49" applyNumberFormat="1" applyFont="1" applyFill="1" applyBorder="1" applyAlignment="1">
      <alignment/>
    </xf>
    <xf numFmtId="0" fontId="106" fillId="0" borderId="0" xfId="0" applyFont="1" applyAlignment="1">
      <alignment horizontal="center"/>
    </xf>
    <xf numFmtId="0" fontId="0" fillId="0" borderId="0" xfId="0" applyAlignment="1">
      <alignment/>
    </xf>
    <xf numFmtId="0" fontId="0" fillId="0" borderId="0" xfId="0" applyAlignment="1">
      <alignment horizontal="left"/>
    </xf>
    <xf numFmtId="14" fontId="0" fillId="0" borderId="0" xfId="0" applyNumberFormat="1" applyAlignment="1">
      <alignment/>
    </xf>
    <xf numFmtId="3" fontId="0" fillId="0" borderId="12" xfId="0" applyNumberFormat="1" applyBorder="1" applyAlignment="1">
      <alignment/>
    </xf>
    <xf numFmtId="0" fontId="106" fillId="0" borderId="0" xfId="0" applyFont="1" applyBorder="1" applyAlignment="1">
      <alignment horizontal="center"/>
    </xf>
    <xf numFmtId="0" fontId="106" fillId="0" borderId="0" xfId="0" applyFont="1" applyBorder="1" applyAlignment="1">
      <alignment horizontal="center" vertical="center"/>
    </xf>
    <xf numFmtId="0" fontId="4" fillId="33" borderId="0" xfId="76" applyFont="1" applyFill="1" applyBorder="1" applyAlignment="1">
      <alignment horizontal="center"/>
      <protection/>
    </xf>
    <xf numFmtId="0" fontId="106" fillId="0" borderId="0" xfId="0" applyFont="1" applyAlignment="1">
      <alignment horizontal="left"/>
    </xf>
    <xf numFmtId="0" fontId="0" fillId="0" borderId="0" xfId="0" applyFont="1" applyAlignment="1">
      <alignment horizontal="left"/>
    </xf>
    <xf numFmtId="14" fontId="0" fillId="0" borderId="12" xfId="0" applyNumberFormat="1" applyBorder="1" applyAlignment="1">
      <alignment/>
    </xf>
    <xf numFmtId="0" fontId="106" fillId="0" borderId="0" xfId="0" applyFont="1" applyAlignment="1">
      <alignment horizontal="center"/>
    </xf>
    <xf numFmtId="0" fontId="0" fillId="0" borderId="0" xfId="0" applyAlignment="1">
      <alignment/>
    </xf>
    <xf numFmtId="0" fontId="0" fillId="0" borderId="0" xfId="0" applyAlignment="1">
      <alignment horizontal="left"/>
    </xf>
    <xf numFmtId="0" fontId="106" fillId="0" borderId="0" xfId="0" applyFont="1" applyBorder="1" applyAlignment="1">
      <alignment horizontal="left"/>
    </xf>
    <xf numFmtId="0" fontId="0" fillId="0" borderId="0" xfId="0" applyBorder="1" applyAlignment="1">
      <alignment horizontal="center"/>
    </xf>
    <xf numFmtId="0" fontId="106" fillId="0" borderId="12" xfId="0" applyFont="1" applyBorder="1" applyAlignment="1">
      <alignment/>
    </xf>
    <xf numFmtId="0" fontId="0" fillId="0" borderId="0" xfId="0" applyFont="1" applyAlignment="1">
      <alignment/>
    </xf>
    <xf numFmtId="0" fontId="0" fillId="0" borderId="0" xfId="0" applyAlignment="1">
      <alignment/>
    </xf>
    <xf numFmtId="0" fontId="0" fillId="0" borderId="12" xfId="0" applyBorder="1" applyAlignment="1">
      <alignment horizontal="left"/>
    </xf>
    <xf numFmtId="0" fontId="142" fillId="0" borderId="12" xfId="0" applyFont="1" applyBorder="1" applyAlignment="1">
      <alignment/>
    </xf>
    <xf numFmtId="3" fontId="106" fillId="0" borderId="0" xfId="0" applyNumberFormat="1" applyFont="1" applyAlignment="1">
      <alignment/>
    </xf>
    <xf numFmtId="14" fontId="0" fillId="0" borderId="0" xfId="0" applyNumberFormat="1" applyBorder="1" applyAlignment="1">
      <alignment/>
    </xf>
    <xf numFmtId="0" fontId="0" fillId="0" borderId="12" xfId="0" applyFont="1" applyBorder="1" applyAlignment="1">
      <alignment/>
    </xf>
    <xf numFmtId="3" fontId="106" fillId="0" borderId="0" xfId="0" applyNumberFormat="1" applyFont="1" applyBorder="1" applyAlignment="1">
      <alignment/>
    </xf>
    <xf numFmtId="3" fontId="14" fillId="0" borderId="0" xfId="0" applyNumberFormat="1" applyFont="1" applyAlignment="1">
      <alignment/>
    </xf>
    <xf numFmtId="3" fontId="14" fillId="0" borderId="12" xfId="0" applyNumberFormat="1" applyFont="1" applyBorder="1" applyAlignment="1">
      <alignment/>
    </xf>
    <xf numFmtId="0" fontId="106" fillId="0" borderId="0" xfId="0" applyFont="1" applyBorder="1" applyAlignment="1">
      <alignment/>
    </xf>
    <xf numFmtId="3" fontId="0" fillId="38" borderId="0" xfId="0" applyNumberFormat="1" applyFill="1" applyAlignment="1">
      <alignment/>
    </xf>
    <xf numFmtId="3" fontId="0" fillId="38" borderId="20" xfId="50" applyNumberFormat="1" applyFont="1" applyFill="1" applyBorder="1" applyAlignment="1">
      <alignment/>
    </xf>
    <xf numFmtId="3" fontId="2" fillId="33" borderId="0" xfId="49" applyNumberFormat="1" applyFont="1" applyFill="1" applyAlignment="1">
      <alignment/>
    </xf>
    <xf numFmtId="3" fontId="107" fillId="33" borderId="0" xfId="50" applyNumberFormat="1" applyFont="1" applyFill="1" applyAlignment="1">
      <alignment/>
    </xf>
    <xf numFmtId="3" fontId="108" fillId="33" borderId="14" xfId="0" applyNumberFormat="1" applyFont="1" applyFill="1" applyBorder="1" applyAlignment="1">
      <alignment/>
    </xf>
    <xf numFmtId="3" fontId="0" fillId="38" borderId="12" xfId="0" applyNumberFormat="1" applyFont="1" applyFill="1" applyBorder="1" applyAlignment="1">
      <alignment/>
    </xf>
    <xf numFmtId="3" fontId="0" fillId="38" borderId="12" xfId="0" applyNumberFormat="1" applyFill="1" applyBorder="1" applyAlignment="1">
      <alignment/>
    </xf>
    <xf numFmtId="3" fontId="0" fillId="33" borderId="0" xfId="0" applyNumberFormat="1" applyFill="1" applyAlignment="1">
      <alignment/>
    </xf>
    <xf numFmtId="3" fontId="91" fillId="0" borderId="0" xfId="0" applyNumberFormat="1" applyFont="1" applyFill="1" applyAlignment="1">
      <alignment horizontal="center" vertical="center"/>
    </xf>
    <xf numFmtId="3" fontId="0" fillId="33" borderId="20" xfId="0" applyNumberFormat="1" applyFill="1" applyBorder="1" applyAlignment="1">
      <alignment/>
    </xf>
    <xf numFmtId="3" fontId="109" fillId="38" borderId="0" xfId="140" applyNumberFormat="1" applyFont="1" applyFill="1" applyBorder="1" applyAlignment="1">
      <alignment/>
    </xf>
    <xf numFmtId="3" fontId="109" fillId="38" borderId="20" xfId="50" applyNumberFormat="1" applyFont="1" applyFill="1" applyBorder="1" applyAlignment="1">
      <alignment/>
    </xf>
    <xf numFmtId="3" fontId="151" fillId="41" borderId="10" xfId="0" applyNumberFormat="1" applyFont="1" applyFill="1" applyBorder="1" applyAlignment="1">
      <alignment/>
    </xf>
    <xf numFmtId="3" fontId="0" fillId="41" borderId="10" xfId="0" applyNumberFormat="1" applyFont="1" applyFill="1" applyBorder="1" applyAlignment="1">
      <alignment/>
    </xf>
    <xf numFmtId="3" fontId="0" fillId="41" borderId="0" xfId="0" applyNumberFormat="1" applyFont="1" applyFill="1" applyBorder="1" applyAlignment="1">
      <alignment/>
    </xf>
    <xf numFmtId="3" fontId="0" fillId="41" borderId="10" xfId="0" applyNumberFormat="1" applyFont="1" applyFill="1" applyBorder="1" applyAlignment="1">
      <alignment horizontal="center"/>
    </xf>
    <xf numFmtId="3" fontId="14" fillId="41" borderId="0" xfId="0" applyNumberFormat="1" applyFont="1" applyFill="1" applyBorder="1" applyAlignment="1">
      <alignment/>
    </xf>
    <xf numFmtId="3" fontId="15" fillId="41" borderId="41" xfId="0" applyNumberFormat="1" applyFont="1" applyFill="1" applyBorder="1" applyAlignment="1">
      <alignment/>
    </xf>
    <xf numFmtId="3" fontId="91" fillId="35" borderId="0" xfId="0" applyNumberFormat="1" applyFont="1" applyFill="1" applyAlignment="1">
      <alignment horizontal="center" vertical="center"/>
    </xf>
    <xf numFmtId="3" fontId="15" fillId="41" borderId="10" xfId="0" applyNumberFormat="1" applyFont="1" applyFill="1" applyBorder="1" applyAlignment="1">
      <alignment/>
    </xf>
    <xf numFmtId="3" fontId="14" fillId="41" borderId="10" xfId="0" applyNumberFormat="1" applyFont="1" applyFill="1" applyBorder="1" applyAlignment="1">
      <alignment/>
    </xf>
    <xf numFmtId="3" fontId="106" fillId="41" borderId="10" xfId="0" applyNumberFormat="1" applyFont="1" applyFill="1" applyBorder="1" applyAlignment="1">
      <alignment/>
    </xf>
    <xf numFmtId="0" fontId="4" fillId="0" borderId="0" xfId="0" applyFont="1" applyFill="1" applyAlignment="1">
      <alignment vertical="center"/>
    </xf>
    <xf numFmtId="167" fontId="4" fillId="0" borderId="0" xfId="49" applyNumberFormat="1" applyFont="1" applyFill="1" applyBorder="1" applyAlignment="1">
      <alignment/>
    </xf>
    <xf numFmtId="167" fontId="2" fillId="0" borderId="0" xfId="49" applyNumberFormat="1" applyFont="1" applyFill="1" applyBorder="1" applyAlignment="1">
      <alignment/>
    </xf>
    <xf numFmtId="169" fontId="4" fillId="0" borderId="0" xfId="49" applyNumberFormat="1" applyFont="1" applyFill="1" applyBorder="1" applyAlignment="1">
      <alignment/>
    </xf>
    <xf numFmtId="169" fontId="2" fillId="33" borderId="0" xfId="52" applyNumberFormat="1" applyFont="1" applyFill="1" applyBorder="1" applyAlignment="1">
      <alignment/>
    </xf>
    <xf numFmtId="3" fontId="11" fillId="0" borderId="62" xfId="0" applyNumberFormat="1" applyFont="1" applyBorder="1" applyAlignment="1">
      <alignment horizontal="right" vertical="center" wrapText="1"/>
    </xf>
    <xf numFmtId="3" fontId="11" fillId="0" borderId="65" xfId="0" applyNumberFormat="1" applyFont="1" applyBorder="1" applyAlignment="1">
      <alignment horizontal="right" vertical="center" wrapText="1"/>
    </xf>
    <xf numFmtId="3" fontId="11" fillId="0" borderId="66" xfId="0" applyNumberFormat="1" applyFont="1" applyBorder="1" applyAlignment="1">
      <alignment horizontal="right" vertical="center" wrapText="1"/>
    </xf>
    <xf numFmtId="0" fontId="11" fillId="0" borderId="39" xfId="0" applyFont="1" applyBorder="1" applyAlignment="1">
      <alignment vertical="center" wrapText="1"/>
    </xf>
    <xf numFmtId="0" fontId="106" fillId="0" borderId="0" xfId="0" applyFont="1" applyFill="1" applyBorder="1" applyAlignment="1">
      <alignment horizontal="left"/>
    </xf>
    <xf numFmtId="3" fontId="107" fillId="0" borderId="0" xfId="0" applyNumberFormat="1" applyFont="1" applyFill="1" applyAlignment="1">
      <alignment/>
    </xf>
    <xf numFmtId="49" fontId="0" fillId="0" borderId="0" xfId="0" applyNumberFormat="1" applyAlignment="1">
      <alignment/>
    </xf>
    <xf numFmtId="0" fontId="152" fillId="0" borderId="0" xfId="0" applyFont="1" applyFill="1" applyAlignment="1">
      <alignment/>
    </xf>
    <xf numFmtId="3" fontId="107" fillId="0" borderId="0" xfId="0" applyNumberFormat="1" applyFont="1" applyAlignment="1">
      <alignment/>
    </xf>
    <xf numFmtId="3" fontId="112" fillId="0" borderId="0" xfId="49" applyNumberFormat="1" applyFont="1" applyBorder="1" applyAlignment="1">
      <alignment/>
    </xf>
    <xf numFmtId="3" fontId="141" fillId="35" borderId="0" xfId="49" applyNumberFormat="1" applyFont="1" applyFill="1" applyBorder="1" applyAlignment="1">
      <alignment/>
    </xf>
    <xf numFmtId="3" fontId="112" fillId="0" borderId="0" xfId="49" applyNumberFormat="1" applyFont="1" applyAlignment="1">
      <alignment/>
    </xf>
    <xf numFmtId="3" fontId="141" fillId="0" borderId="0" xfId="49" applyNumberFormat="1" applyFont="1" applyFill="1" applyBorder="1" applyAlignment="1">
      <alignment/>
    </xf>
    <xf numFmtId="3" fontId="121" fillId="35" borderId="0" xfId="49" applyNumberFormat="1" applyFont="1" applyFill="1" applyBorder="1" applyAlignment="1">
      <alignment/>
    </xf>
    <xf numFmtId="3" fontId="153" fillId="0" borderId="0" xfId="49" applyNumberFormat="1" applyFont="1" applyAlignment="1">
      <alignment/>
    </xf>
    <xf numFmtId="3" fontId="154" fillId="0" borderId="0" xfId="49" applyNumberFormat="1" applyFont="1" applyAlignment="1">
      <alignment/>
    </xf>
    <xf numFmtId="3" fontId="114" fillId="0" borderId="0" xfId="49" applyNumberFormat="1" applyFont="1" applyAlignment="1">
      <alignment/>
    </xf>
    <xf numFmtId="3" fontId="0" fillId="38" borderId="0" xfId="0" applyNumberFormat="1" applyFill="1" applyBorder="1" applyAlignment="1">
      <alignment/>
    </xf>
    <xf numFmtId="3" fontId="101" fillId="38" borderId="12" xfId="0" applyNumberFormat="1" applyFont="1" applyFill="1" applyBorder="1" applyAlignment="1">
      <alignment/>
    </xf>
    <xf numFmtId="3" fontId="15" fillId="38" borderId="0" xfId="50" applyNumberFormat="1" applyFont="1" applyFill="1" applyBorder="1" applyAlignment="1">
      <alignment/>
    </xf>
    <xf numFmtId="0" fontId="0" fillId="0" borderId="0" xfId="0" applyAlignment="1">
      <alignment/>
    </xf>
    <xf numFmtId="0" fontId="110" fillId="0" borderId="15" xfId="0" applyFont="1" applyFill="1" applyBorder="1" applyAlignment="1">
      <alignment horizontal="justify" vertical="justify" wrapText="1"/>
    </xf>
    <xf numFmtId="0" fontId="110" fillId="0" borderId="0" xfId="0" applyFont="1" applyFill="1" applyBorder="1" applyAlignment="1">
      <alignment horizontal="justify" vertical="justify" wrapText="1"/>
    </xf>
    <xf numFmtId="0" fontId="110" fillId="0" borderId="16" xfId="0" applyFont="1" applyFill="1" applyBorder="1" applyAlignment="1">
      <alignment horizontal="justify" vertical="justify" wrapText="1"/>
    </xf>
    <xf numFmtId="0" fontId="107" fillId="0" borderId="0" xfId="0" applyFont="1" applyFill="1" applyAlignment="1">
      <alignment horizontal="left" vertical="justify" wrapText="1"/>
    </xf>
    <xf numFmtId="0" fontId="0" fillId="0" borderId="0" xfId="0" applyAlignment="1">
      <alignment/>
    </xf>
    <xf numFmtId="0" fontId="14" fillId="38" borderId="15" xfId="0" applyFont="1" applyFill="1" applyBorder="1" applyAlignment="1">
      <alignment/>
    </xf>
    <xf numFmtId="0" fontId="15" fillId="38" borderId="15" xfId="0" applyFont="1" applyFill="1" applyBorder="1" applyAlignment="1">
      <alignment/>
    </xf>
    <xf numFmtId="0" fontId="0" fillId="0" borderId="0" xfId="0" applyAlignment="1">
      <alignment horizontal="left"/>
    </xf>
    <xf numFmtId="0" fontId="106" fillId="0" borderId="0" xfId="0" applyFont="1" applyAlignment="1">
      <alignment horizontal="center"/>
    </xf>
    <xf numFmtId="0" fontId="0" fillId="0" borderId="0" xfId="0" applyAlignment="1">
      <alignment/>
    </xf>
    <xf numFmtId="0" fontId="0" fillId="0" borderId="0" xfId="0" applyAlignment="1">
      <alignment horizontal="left"/>
    </xf>
    <xf numFmtId="14" fontId="0" fillId="0" borderId="0" xfId="0" applyNumberFormat="1" applyAlignment="1">
      <alignment horizontal="left"/>
    </xf>
    <xf numFmtId="0" fontId="142" fillId="0" borderId="20" xfId="0" applyFont="1" applyBorder="1" applyAlignment="1">
      <alignment/>
    </xf>
    <xf numFmtId="0" fontId="0" fillId="0" borderId="20" xfId="0" applyBorder="1" applyAlignment="1">
      <alignment/>
    </xf>
    <xf numFmtId="0" fontId="0" fillId="0" borderId="20" xfId="0" applyBorder="1" applyAlignment="1">
      <alignment horizontal="center"/>
    </xf>
    <xf numFmtId="3" fontId="106" fillId="0" borderId="20" xfId="0" applyNumberFormat="1" applyFont="1" applyBorder="1" applyAlignment="1">
      <alignment/>
    </xf>
    <xf numFmtId="14" fontId="0" fillId="0" borderId="20" xfId="0" applyNumberFormat="1" applyBorder="1" applyAlignment="1">
      <alignment/>
    </xf>
    <xf numFmtId="3" fontId="14" fillId="38" borderId="0" xfId="0" applyNumberFormat="1" applyFont="1" applyFill="1" applyAlignment="1">
      <alignment/>
    </xf>
    <xf numFmtId="3" fontId="109" fillId="38" borderId="20" xfId="50" applyNumberFormat="1" applyFont="1" applyFill="1" applyBorder="1" applyAlignment="1">
      <alignment horizontal="right"/>
    </xf>
    <xf numFmtId="0" fontId="0" fillId="0" borderId="60" xfId="0" applyBorder="1" applyAlignment="1">
      <alignment/>
    </xf>
    <xf numFmtId="3" fontId="7" fillId="0" borderId="59" xfId="0" applyNumberFormat="1" applyFont="1" applyBorder="1" applyAlignment="1">
      <alignment/>
    </xf>
    <xf numFmtId="0" fontId="7" fillId="0" borderId="0" xfId="0" applyFont="1" applyBorder="1" applyAlignment="1">
      <alignment/>
    </xf>
    <xf numFmtId="0" fontId="0" fillId="0" borderId="0" xfId="0" applyAlignment="1">
      <alignment/>
    </xf>
    <xf numFmtId="0" fontId="0" fillId="0" borderId="0" xfId="0" applyAlignment="1">
      <alignment/>
    </xf>
    <xf numFmtId="3" fontId="106" fillId="0" borderId="0" xfId="0" applyNumberFormat="1" applyFont="1" applyFill="1" applyAlignment="1">
      <alignment/>
    </xf>
    <xf numFmtId="3" fontId="106" fillId="0" borderId="12" xfId="0" applyNumberFormat="1" applyFont="1" applyBorder="1" applyAlignment="1">
      <alignment/>
    </xf>
    <xf numFmtId="3" fontId="11" fillId="0" borderId="67" xfId="0" applyNumberFormat="1" applyFont="1" applyBorder="1" applyAlignment="1">
      <alignment horizontal="right" vertical="center" wrapText="1"/>
    </xf>
    <xf numFmtId="3" fontId="11" fillId="0" borderId="62" xfId="0" applyNumberFormat="1" applyFont="1" applyBorder="1" applyAlignment="1">
      <alignment vertical="center" wrapText="1"/>
    </xf>
    <xf numFmtId="3" fontId="11" fillId="0" borderId="65" xfId="0" applyNumberFormat="1" applyFont="1" applyBorder="1" applyAlignment="1">
      <alignment vertical="center" wrapText="1"/>
    </xf>
    <xf numFmtId="3" fontId="11" fillId="0" borderId="66" xfId="0" applyNumberFormat="1" applyFont="1" applyBorder="1" applyAlignment="1">
      <alignment vertical="center" wrapText="1"/>
    </xf>
    <xf numFmtId="3" fontId="11" fillId="0" borderId="67" xfId="0" applyNumberFormat="1" applyFont="1" applyBorder="1" applyAlignment="1">
      <alignment vertical="center" wrapText="1"/>
    </xf>
    <xf numFmtId="3" fontId="11" fillId="0" borderId="65" xfId="0" applyNumberFormat="1" applyFont="1" applyFill="1" applyBorder="1" applyAlignment="1">
      <alignment vertical="center" wrapText="1"/>
    </xf>
    <xf numFmtId="0" fontId="0" fillId="0" borderId="0" xfId="0" applyAlignment="1">
      <alignment/>
    </xf>
    <xf numFmtId="0" fontId="0" fillId="0" borderId="0" xfId="0" applyAlignment="1">
      <alignment horizontal="left"/>
    </xf>
    <xf numFmtId="49" fontId="2" fillId="33" borderId="10" xfId="49" applyNumberFormat="1" applyFont="1" applyFill="1" applyBorder="1" applyAlignment="1">
      <alignment horizontal="right"/>
    </xf>
    <xf numFmtId="164" fontId="0" fillId="33" borderId="0" xfId="50" applyFont="1" applyFill="1" applyBorder="1" applyAlignment="1">
      <alignment/>
    </xf>
    <xf numFmtId="164" fontId="0" fillId="33" borderId="12" xfId="50" applyFont="1" applyFill="1" applyBorder="1" applyAlignment="1">
      <alignment/>
    </xf>
    <xf numFmtId="180" fontId="85" fillId="0" borderId="0" xfId="138" applyNumberFormat="1" applyFont="1" applyFill="1" applyBorder="1" applyAlignment="1">
      <alignment horizontal="center" wrapText="1"/>
      <protection/>
    </xf>
    <xf numFmtId="180" fontId="86" fillId="0" borderId="0" xfId="0" applyNumberFormat="1" applyFont="1" applyFill="1" applyBorder="1" applyAlignment="1">
      <alignment horizontal="center" vertical="top" wrapText="1"/>
    </xf>
    <xf numFmtId="0" fontId="106" fillId="0" borderId="0" xfId="0" applyFont="1" applyAlignment="1">
      <alignment horizontal="center"/>
    </xf>
    <xf numFmtId="0" fontId="7" fillId="0" borderId="68" xfId="0" applyFont="1" applyFill="1" applyBorder="1" applyAlignment="1">
      <alignment horizontal="justify" vertical="center"/>
    </xf>
    <xf numFmtId="0" fontId="7" fillId="0" borderId="20" xfId="0" applyFont="1" applyFill="1" applyBorder="1" applyAlignment="1">
      <alignment horizontal="justify" vertical="center"/>
    </xf>
    <xf numFmtId="0" fontId="7" fillId="0" borderId="66" xfId="0" applyFont="1" applyFill="1" applyBorder="1" applyAlignment="1">
      <alignment horizontal="justify" vertical="center"/>
    </xf>
    <xf numFmtId="0" fontId="7" fillId="0" borderId="68" xfId="0" applyFont="1" applyFill="1" applyBorder="1" applyAlignment="1">
      <alignment wrapText="1"/>
    </xf>
    <xf numFmtId="0" fontId="7" fillId="0" borderId="20" xfId="0" applyFont="1" applyFill="1" applyBorder="1" applyAlignment="1">
      <alignment wrapText="1"/>
    </xf>
    <xf numFmtId="0" fontId="7" fillId="0" borderId="66" xfId="0" applyFont="1" applyFill="1" applyBorder="1" applyAlignment="1">
      <alignment wrapText="1"/>
    </xf>
    <xf numFmtId="180" fontId="85" fillId="0" borderId="0" xfId="138" applyNumberFormat="1" applyFont="1" applyBorder="1" applyAlignment="1">
      <alignment horizontal="center"/>
      <protection/>
    </xf>
    <xf numFmtId="0" fontId="4" fillId="0" borderId="0" xfId="0" applyFont="1" applyFill="1" applyAlignment="1">
      <alignment horizontal="center"/>
    </xf>
    <xf numFmtId="167" fontId="116" fillId="0" borderId="0" xfId="49" applyNumberFormat="1" applyFont="1" applyFill="1" applyAlignment="1">
      <alignment horizontal="center"/>
    </xf>
    <xf numFmtId="0" fontId="2" fillId="0" borderId="0" xfId="0" applyFont="1" applyFill="1" applyAlignment="1">
      <alignment horizontal="center"/>
    </xf>
    <xf numFmtId="0" fontId="126" fillId="35" borderId="0" xfId="0" applyFont="1" applyFill="1" applyAlignment="1">
      <alignment horizontal="left"/>
    </xf>
    <xf numFmtId="0" fontId="126" fillId="35" borderId="0" xfId="0" applyFont="1" applyFill="1" applyAlignment="1">
      <alignment horizontal="left" vertical="center"/>
    </xf>
    <xf numFmtId="0" fontId="0" fillId="0" borderId="0" xfId="0" applyAlignment="1">
      <alignment/>
    </xf>
    <xf numFmtId="167" fontId="155" fillId="0" borderId="0" xfId="49" applyNumberFormat="1" applyFont="1" applyFill="1" applyAlignment="1">
      <alignment horizontal="center"/>
    </xf>
    <xf numFmtId="0" fontId="8" fillId="0" borderId="0" xfId="0" applyFont="1" applyFill="1" applyAlignment="1">
      <alignment horizontal="left" vertical="center"/>
    </xf>
    <xf numFmtId="0" fontId="4" fillId="0" borderId="0" xfId="0" applyFont="1" applyFill="1" applyAlignment="1">
      <alignment horizontal="left" vertical="center"/>
    </xf>
    <xf numFmtId="0" fontId="0" fillId="0" borderId="0" xfId="0" applyAlignment="1">
      <alignment horizontal="left"/>
    </xf>
    <xf numFmtId="0" fontId="107" fillId="0" borderId="0" xfId="0" applyFont="1" applyFill="1" applyAlignment="1">
      <alignment horizontal="left"/>
    </xf>
    <xf numFmtId="0" fontId="4" fillId="0" borderId="0" xfId="0" applyFont="1" applyFill="1" applyAlignment="1">
      <alignment horizontal="left"/>
    </xf>
    <xf numFmtId="3" fontId="107" fillId="0" borderId="0" xfId="0" applyNumberFormat="1" applyFont="1" applyFill="1" applyAlignment="1">
      <alignment horizontal="center"/>
    </xf>
    <xf numFmtId="0" fontId="107" fillId="0" borderId="0" xfId="0" applyFont="1" applyFill="1" applyAlignment="1">
      <alignment horizontal="center"/>
    </xf>
    <xf numFmtId="0" fontId="120" fillId="35" borderId="0" xfId="0" applyFont="1" applyFill="1" applyAlignment="1">
      <alignment horizontal="center" vertical="center" wrapText="1"/>
    </xf>
    <xf numFmtId="167" fontId="120" fillId="35" borderId="0" xfId="49" applyNumberFormat="1" applyFont="1" applyFill="1" applyAlignment="1">
      <alignment horizontal="center" vertical="center" wrapText="1"/>
    </xf>
    <xf numFmtId="167" fontId="120" fillId="35" borderId="12" xfId="49" applyNumberFormat="1" applyFont="1" applyFill="1" applyBorder="1" applyAlignment="1">
      <alignment horizontal="center" vertical="center" wrapText="1"/>
    </xf>
    <xf numFmtId="0" fontId="112" fillId="0" borderId="0" xfId="0" applyFont="1" applyAlignment="1">
      <alignment horizontal="center"/>
    </xf>
    <xf numFmtId="0" fontId="120" fillId="0" borderId="0" xfId="0" applyFont="1" applyFill="1" applyAlignment="1">
      <alignment horizontal="center" vertical="center" wrapText="1"/>
    </xf>
    <xf numFmtId="0" fontId="112" fillId="34" borderId="0" xfId="0" applyFont="1" applyFill="1" applyAlignment="1">
      <alignment horizontal="center"/>
    </xf>
    <xf numFmtId="0" fontId="9" fillId="0" borderId="0" xfId="0" applyFont="1" applyAlignment="1">
      <alignment horizontal="center"/>
    </xf>
    <xf numFmtId="0" fontId="7" fillId="0" borderId="0" xfId="0" applyFont="1" applyAlignment="1">
      <alignment horizontal="center"/>
    </xf>
    <xf numFmtId="0" fontId="112" fillId="0" borderId="15" xfId="0" applyFont="1" applyBorder="1" applyAlignment="1">
      <alignment horizontal="justify" vertical="justify" wrapText="1"/>
    </xf>
    <xf numFmtId="0" fontId="112" fillId="0" borderId="0" xfId="0" applyFont="1" applyBorder="1" applyAlignment="1">
      <alignment horizontal="justify" vertical="justify" wrapText="1"/>
    </xf>
    <xf numFmtId="0" fontId="112" fillId="0" borderId="16" xfId="0" applyFont="1" applyBorder="1" applyAlignment="1">
      <alignment horizontal="justify" vertical="justify" wrapText="1"/>
    </xf>
    <xf numFmtId="0" fontId="12" fillId="0" borderId="15" xfId="0" applyFont="1" applyBorder="1" applyAlignment="1">
      <alignment horizontal="justify" vertical="justify" wrapText="1"/>
    </xf>
    <xf numFmtId="0" fontId="12" fillId="0" borderId="0" xfId="0" applyFont="1" applyBorder="1" applyAlignment="1">
      <alignment horizontal="justify" vertical="justify" wrapText="1"/>
    </xf>
    <xf numFmtId="0" fontId="12" fillId="0" borderId="16" xfId="0" applyFont="1" applyBorder="1" applyAlignment="1">
      <alignment horizontal="justify" vertical="justify" wrapText="1"/>
    </xf>
    <xf numFmtId="0" fontId="107" fillId="0" borderId="0" xfId="0" applyFont="1" applyBorder="1" applyAlignment="1">
      <alignment horizontal="center" vertical="center"/>
    </xf>
    <xf numFmtId="0" fontId="108" fillId="0" borderId="0" xfId="0" applyFont="1" applyAlignment="1">
      <alignment horizontal="left" vertical="center"/>
    </xf>
    <xf numFmtId="0" fontId="110" fillId="0" borderId="15" xfId="0" applyFont="1" applyFill="1" applyBorder="1" applyAlignment="1">
      <alignment horizontal="left" vertical="justify" wrapText="1"/>
    </xf>
    <xf numFmtId="0" fontId="110" fillId="0" borderId="0" xfId="0" applyFont="1" applyFill="1" applyBorder="1" applyAlignment="1">
      <alignment horizontal="left" vertical="justify" wrapText="1"/>
    </xf>
    <xf numFmtId="0" fontId="110" fillId="0" borderId="16" xfId="0" applyFont="1" applyFill="1" applyBorder="1" applyAlignment="1">
      <alignment horizontal="left" vertical="justify" wrapText="1"/>
    </xf>
    <xf numFmtId="0" fontId="110" fillId="0" borderId="15" xfId="0" applyFont="1" applyBorder="1" applyAlignment="1">
      <alignment horizontal="left" vertical="center" wrapText="1" readingOrder="1"/>
    </xf>
    <xf numFmtId="0" fontId="110" fillId="0" borderId="0" xfId="0" applyFont="1" applyBorder="1" applyAlignment="1">
      <alignment horizontal="left" vertical="center" wrapText="1" readingOrder="1"/>
    </xf>
    <xf numFmtId="0" fontId="110" fillId="0" borderId="16" xfId="0" applyFont="1" applyBorder="1" applyAlignment="1">
      <alignment horizontal="left" vertical="center" wrapText="1" readingOrder="1"/>
    </xf>
    <xf numFmtId="0" fontId="110" fillId="0" borderId="15" xfId="0" applyFont="1" applyFill="1" applyBorder="1" applyAlignment="1">
      <alignment horizontal="justify" vertical="justify" wrapText="1"/>
    </xf>
    <xf numFmtId="0" fontId="110" fillId="0" borderId="0" xfId="0" applyFont="1" applyFill="1" applyBorder="1" applyAlignment="1">
      <alignment horizontal="justify" vertical="justify" wrapText="1"/>
    </xf>
    <xf numFmtId="0" fontId="110" fillId="0" borderId="16" xfId="0" applyFont="1" applyFill="1" applyBorder="1" applyAlignment="1">
      <alignment horizontal="justify" vertical="justify" wrapText="1"/>
    </xf>
    <xf numFmtId="0" fontId="108" fillId="0" borderId="15" xfId="0" applyFont="1" applyFill="1" applyBorder="1" applyAlignment="1">
      <alignment horizontal="left" vertical="justify" wrapText="1"/>
    </xf>
    <xf numFmtId="0" fontId="108" fillId="0" borderId="0" xfId="0" applyFont="1" applyFill="1" applyBorder="1" applyAlignment="1">
      <alignment horizontal="left" vertical="justify" wrapText="1"/>
    </xf>
    <xf numFmtId="0" fontId="108" fillId="0" borderId="16" xfId="0" applyFont="1" applyFill="1" applyBorder="1" applyAlignment="1">
      <alignment horizontal="left" vertical="justify" wrapText="1"/>
    </xf>
    <xf numFmtId="0" fontId="107" fillId="0" borderId="15" xfId="0" applyFont="1" applyFill="1" applyBorder="1" applyAlignment="1">
      <alignment horizontal="left" vertical="justify" wrapText="1"/>
    </xf>
    <xf numFmtId="0" fontId="107" fillId="0" borderId="0" xfId="0" applyFont="1" applyFill="1" applyBorder="1" applyAlignment="1">
      <alignment horizontal="left" vertical="justify" wrapText="1"/>
    </xf>
    <xf numFmtId="0" fontId="107" fillId="0" borderId="16" xfId="0" applyFont="1" applyFill="1" applyBorder="1" applyAlignment="1">
      <alignment horizontal="left" vertical="justify" wrapText="1"/>
    </xf>
    <xf numFmtId="0" fontId="4" fillId="0" borderId="15" xfId="0" applyFont="1" applyFill="1" applyBorder="1" applyAlignment="1">
      <alignment horizontal="left" vertical="justify" wrapText="1"/>
    </xf>
    <xf numFmtId="0" fontId="4" fillId="0" borderId="0" xfId="0" applyFont="1" applyFill="1" applyBorder="1" applyAlignment="1">
      <alignment horizontal="left" vertical="justify" wrapText="1"/>
    </xf>
    <xf numFmtId="0" fontId="4" fillId="0" borderId="16" xfId="0" applyFont="1" applyFill="1" applyBorder="1" applyAlignment="1">
      <alignment horizontal="left" vertical="justify" wrapText="1"/>
    </xf>
    <xf numFmtId="0" fontId="0" fillId="0" borderId="15" xfId="0" applyFill="1" applyBorder="1" applyAlignment="1">
      <alignment horizontal="left" vertical="justify" wrapText="1"/>
    </xf>
    <xf numFmtId="0" fontId="0" fillId="0" borderId="0" xfId="0" applyFill="1" applyBorder="1" applyAlignment="1">
      <alignment horizontal="left" vertical="justify" wrapText="1"/>
    </xf>
    <xf numFmtId="0" fontId="0" fillId="0" borderId="16" xfId="0" applyFill="1" applyBorder="1" applyAlignment="1">
      <alignment horizontal="left" vertical="justify" wrapText="1"/>
    </xf>
    <xf numFmtId="0" fontId="120" fillId="35" borderId="15" xfId="0" applyFont="1" applyFill="1" applyBorder="1" applyAlignment="1">
      <alignment horizontal="left" vertical="center"/>
    </xf>
    <xf numFmtId="0" fontId="120" fillId="35" borderId="0" xfId="0" applyFont="1" applyFill="1" applyBorder="1" applyAlignment="1">
      <alignment horizontal="left" vertical="center"/>
    </xf>
    <xf numFmtId="0" fontId="120" fillId="35" borderId="16" xfId="0" applyFont="1" applyFill="1" applyBorder="1" applyAlignment="1">
      <alignment horizontal="left" vertical="center"/>
    </xf>
    <xf numFmtId="0" fontId="107" fillId="0" borderId="15" xfId="0" applyFont="1" applyFill="1" applyBorder="1" applyAlignment="1">
      <alignment horizontal="justify" vertical="justify" wrapText="1"/>
    </xf>
    <xf numFmtId="0" fontId="107" fillId="0" borderId="0" xfId="0" applyFont="1" applyFill="1" applyBorder="1" applyAlignment="1">
      <alignment horizontal="justify" vertical="justify" wrapText="1"/>
    </xf>
    <xf numFmtId="0" fontId="107" fillId="0" borderId="16" xfId="0" applyFont="1" applyFill="1" applyBorder="1" applyAlignment="1">
      <alignment horizontal="justify" vertical="justify" wrapText="1"/>
    </xf>
    <xf numFmtId="0" fontId="143" fillId="0" borderId="15" xfId="0" applyFont="1" applyBorder="1" applyAlignment="1">
      <alignment horizontal="left" vertical="top" wrapText="1"/>
    </xf>
    <xf numFmtId="0" fontId="143" fillId="0" borderId="0" xfId="0" applyFont="1" applyBorder="1" applyAlignment="1">
      <alignment horizontal="left" vertical="top" wrapText="1"/>
    </xf>
    <xf numFmtId="0" fontId="143" fillId="0" borderId="16" xfId="0" applyFont="1" applyBorder="1" applyAlignment="1">
      <alignment horizontal="left" vertical="top" wrapText="1"/>
    </xf>
    <xf numFmtId="0" fontId="11" fillId="0" borderId="37" xfId="0" applyFont="1" applyFill="1" applyBorder="1" applyAlignment="1">
      <alignment horizontal="justify" vertical="justify" wrapText="1"/>
    </xf>
    <xf numFmtId="0" fontId="11" fillId="0" borderId="20" xfId="0" applyFont="1" applyFill="1" applyBorder="1" applyAlignment="1">
      <alignment horizontal="justify" vertical="justify" wrapText="1"/>
    </xf>
    <xf numFmtId="0" fontId="11" fillId="0" borderId="38" xfId="0" applyFont="1" applyFill="1" applyBorder="1" applyAlignment="1">
      <alignment horizontal="justify" vertical="justify" wrapText="1"/>
    </xf>
    <xf numFmtId="0" fontId="16" fillId="14" borderId="0" xfId="0" applyFont="1" applyFill="1" applyAlignment="1">
      <alignment horizontal="left" vertical="center" wrapText="1"/>
    </xf>
    <xf numFmtId="0" fontId="16" fillId="14" borderId="16" xfId="0" applyFont="1" applyFill="1" applyBorder="1" applyAlignment="1">
      <alignment horizontal="left" vertical="center" wrapText="1"/>
    </xf>
    <xf numFmtId="0" fontId="107" fillId="0" borderId="0" xfId="0" applyFont="1" applyFill="1" applyAlignment="1">
      <alignment horizontal="left" vertical="justify" wrapText="1"/>
    </xf>
    <xf numFmtId="0" fontId="107" fillId="0" borderId="0" xfId="0" applyFont="1" applyAlignment="1">
      <alignment horizontal="left" vertical="top" wrapText="1"/>
    </xf>
    <xf numFmtId="0" fontId="108" fillId="0" borderId="15" xfId="0" applyFont="1" applyFill="1" applyBorder="1" applyAlignment="1">
      <alignment horizontal="left"/>
    </xf>
    <xf numFmtId="0" fontId="108" fillId="0" borderId="0" xfId="0" applyFont="1" applyFill="1" applyBorder="1" applyAlignment="1">
      <alignment horizontal="left"/>
    </xf>
    <xf numFmtId="0" fontId="108" fillId="0" borderId="16" xfId="0" applyFont="1" applyFill="1" applyBorder="1" applyAlignment="1">
      <alignment horizontal="left"/>
    </xf>
    <xf numFmtId="0" fontId="2" fillId="0" borderId="17" xfId="0" applyFont="1" applyFill="1" applyBorder="1" applyAlignment="1">
      <alignment horizontal="left" vertical="justify" wrapText="1"/>
    </xf>
    <xf numFmtId="0" fontId="2" fillId="0" borderId="12" xfId="0" applyFont="1" applyFill="1" applyBorder="1" applyAlignment="1">
      <alignment horizontal="left" vertical="justify" wrapText="1"/>
    </xf>
    <xf numFmtId="0" fontId="2" fillId="0" borderId="18" xfId="0" applyFont="1" applyFill="1" applyBorder="1" applyAlignment="1">
      <alignment horizontal="left" vertical="justify" wrapText="1"/>
    </xf>
    <xf numFmtId="0" fontId="120" fillId="35" borderId="0" xfId="0" applyFont="1" applyFill="1" applyAlignment="1">
      <alignment horizontal="left"/>
    </xf>
    <xf numFmtId="0" fontId="130" fillId="33" borderId="0" xfId="0" applyFont="1" applyFill="1" applyAlignment="1">
      <alignment horizontal="center"/>
    </xf>
    <xf numFmtId="0" fontId="110" fillId="33" borderId="11" xfId="0" applyFont="1" applyFill="1" applyBorder="1" applyAlignment="1">
      <alignment horizontal="center"/>
    </xf>
    <xf numFmtId="0" fontId="110" fillId="33" borderId="40" xfId="0" applyFont="1" applyFill="1" applyBorder="1" applyAlignment="1">
      <alignment horizontal="center"/>
    </xf>
    <xf numFmtId="0" fontId="107" fillId="0" borderId="0" xfId="0" applyFont="1" applyAlignment="1">
      <alignment horizontal="left" vertical="center"/>
    </xf>
    <xf numFmtId="0" fontId="120" fillId="35" borderId="0" xfId="0" applyFont="1" applyFill="1" applyAlignment="1">
      <alignment horizontal="left" vertical="center"/>
    </xf>
    <xf numFmtId="0" fontId="146" fillId="40" borderId="11" xfId="64" applyFont="1" applyFill="1" applyBorder="1" applyAlignment="1">
      <alignment horizontal="left" vertical="center"/>
      <protection/>
    </xf>
    <xf numFmtId="0" fontId="146" fillId="40" borderId="19" xfId="64" applyFont="1" applyFill="1" applyBorder="1" applyAlignment="1">
      <alignment horizontal="left" vertical="center"/>
      <protection/>
    </xf>
    <xf numFmtId="0" fontId="146" fillId="40" borderId="40" xfId="64" applyFont="1" applyFill="1" applyBorder="1" applyAlignment="1">
      <alignment horizontal="left" vertical="center"/>
      <protection/>
    </xf>
    <xf numFmtId="0" fontId="108" fillId="0" borderId="0" xfId="0" applyFont="1" applyAlignment="1">
      <alignment horizontal="left"/>
    </xf>
    <xf numFmtId="0" fontId="106" fillId="38" borderId="0" xfId="0" applyFont="1" applyFill="1" applyAlignment="1">
      <alignment horizontal="center" vertical="center"/>
    </xf>
    <xf numFmtId="0" fontId="133" fillId="33" borderId="0" xfId="0" applyFont="1" applyFill="1" applyAlignment="1">
      <alignment horizontal="left"/>
    </xf>
    <xf numFmtId="0" fontId="120" fillId="35" borderId="0" xfId="0" applyFont="1" applyFill="1" applyAlignment="1">
      <alignment horizontal="center" vertical="center"/>
    </xf>
    <xf numFmtId="0" fontId="0" fillId="38" borderId="0" xfId="0" applyFill="1" applyAlignment="1">
      <alignment horizontal="center"/>
    </xf>
    <xf numFmtId="0" fontId="132" fillId="38" borderId="0" xfId="0" applyFont="1" applyFill="1" applyAlignment="1">
      <alignment horizontal="center"/>
    </xf>
    <xf numFmtId="0" fontId="16" fillId="38" borderId="0" xfId="0" applyFont="1" applyFill="1" applyAlignment="1">
      <alignment horizontal="left" wrapText="1"/>
    </xf>
    <xf numFmtId="0" fontId="11" fillId="0" borderId="56" xfId="0" applyFont="1" applyBorder="1" applyAlignment="1">
      <alignment horizontal="center" vertical="center" wrapText="1"/>
    </xf>
    <xf numFmtId="0" fontId="11" fillId="0" borderId="63" xfId="0" applyFont="1" applyBorder="1" applyAlignment="1">
      <alignment horizontal="center" vertical="center" wrapText="1"/>
    </xf>
    <xf numFmtId="0" fontId="120" fillId="35" borderId="0" xfId="0" applyFont="1" applyFill="1" applyBorder="1" applyAlignment="1">
      <alignment horizontal="left"/>
    </xf>
    <xf numFmtId="9" fontId="109" fillId="38" borderId="0" xfId="140" applyFont="1" applyFill="1" applyBorder="1" applyAlignment="1">
      <alignment horizontal="center"/>
    </xf>
    <xf numFmtId="9" fontId="144" fillId="38" borderId="0" xfId="140" applyFont="1" applyFill="1" applyBorder="1" applyAlignment="1">
      <alignment horizontal="left"/>
    </xf>
    <xf numFmtId="0" fontId="143" fillId="38" borderId="0" xfId="0" applyFont="1" applyFill="1" applyBorder="1" applyAlignment="1">
      <alignment horizontal="left"/>
    </xf>
    <xf numFmtId="0" fontId="61" fillId="38" borderId="0" xfId="0" applyFont="1" applyFill="1" applyAlignment="1">
      <alignment horizontal="center" wrapText="1"/>
    </xf>
    <xf numFmtId="0" fontId="14" fillId="38" borderId="0" xfId="0" applyFont="1" applyFill="1" applyAlignment="1">
      <alignment horizontal="left"/>
    </xf>
    <xf numFmtId="0" fontId="14" fillId="38" borderId="0" xfId="0" applyFont="1" applyFill="1" applyAlignment="1">
      <alignment horizontal="left" vertical="center" wrapText="1"/>
    </xf>
    <xf numFmtId="0" fontId="91" fillId="35" borderId="0" xfId="0" applyFont="1" applyFill="1" applyAlignment="1">
      <alignment horizontal="left"/>
    </xf>
    <xf numFmtId="0" fontId="135" fillId="0" borderId="0" xfId="0" applyFont="1" applyAlignment="1">
      <alignment horizontal="left" vertical="center" wrapText="1"/>
    </xf>
    <xf numFmtId="0" fontId="135" fillId="38" borderId="0" xfId="0" applyFont="1" applyFill="1" applyAlignment="1">
      <alignment horizontal="left" vertical="center" wrapText="1"/>
    </xf>
    <xf numFmtId="0" fontId="135" fillId="38" borderId="0" xfId="0" applyFont="1" applyFill="1" applyAlignment="1">
      <alignment horizontal="left" vertical="center"/>
    </xf>
    <xf numFmtId="0" fontId="14" fillId="38" borderId="0" xfId="0" applyFont="1" applyFill="1" applyAlignment="1">
      <alignment horizontal="left" wrapText="1"/>
    </xf>
    <xf numFmtId="0" fontId="151" fillId="41" borderId="0" xfId="0" applyFont="1" applyFill="1" applyBorder="1" applyAlignment="1">
      <alignment horizontal="left"/>
    </xf>
    <xf numFmtId="3" fontId="16" fillId="41" borderId="0" xfId="0" applyNumberFormat="1" applyFont="1" applyFill="1" applyBorder="1" applyAlignment="1">
      <alignment horizontal="left" wrapText="1"/>
    </xf>
  </cellXfs>
  <cellStyles count="13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Comma 4 2"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0] 3" xfId="51"/>
    <cellStyle name="Millares 100 11" xfId="52"/>
    <cellStyle name="Millares 174 2" xfId="53"/>
    <cellStyle name="Millares 2" xfId="54"/>
    <cellStyle name="Millares 2 2" xfId="55"/>
    <cellStyle name="Millares 212" xfId="56"/>
    <cellStyle name="Millares 3 11" xfId="57"/>
    <cellStyle name="Millares 654 2 2" xfId="58"/>
    <cellStyle name="Millares 656" xfId="59"/>
    <cellStyle name="Millares 657" xfId="60"/>
    <cellStyle name="Currency" xfId="61"/>
    <cellStyle name="Currency [0]" xfId="62"/>
    <cellStyle name="Neutral" xfId="63"/>
    <cellStyle name="Normal 10 10 2 2 2" xfId="64"/>
    <cellStyle name="Normal 1016" xfId="65"/>
    <cellStyle name="Normal 1018" xfId="66"/>
    <cellStyle name="Normal 1022" xfId="67"/>
    <cellStyle name="Normal 1024" xfId="68"/>
    <cellStyle name="Normal 1025" xfId="69"/>
    <cellStyle name="Normal 1026" xfId="70"/>
    <cellStyle name="Normal 1027" xfId="71"/>
    <cellStyle name="Normal 105" xfId="72"/>
    <cellStyle name="Normal 107" xfId="73"/>
    <cellStyle name="Normal 109" xfId="74"/>
    <cellStyle name="Normal 12 10" xfId="75"/>
    <cellStyle name="Normal 12 2 10" xfId="76"/>
    <cellStyle name="Normal 12 2 2 4" xfId="77"/>
    <cellStyle name="Normal 125" xfId="78"/>
    <cellStyle name="Normal 126" xfId="79"/>
    <cellStyle name="Normal 199 2 2" xfId="80"/>
    <cellStyle name="Normal 2" xfId="81"/>
    <cellStyle name="Normal 2 10 2 2 2" xfId="82"/>
    <cellStyle name="Normal 2 2 2 3" xfId="83"/>
    <cellStyle name="Normal 601" xfId="84"/>
    <cellStyle name="Normal 605" xfId="85"/>
    <cellStyle name="Normal 606" xfId="86"/>
    <cellStyle name="Normal 636" xfId="87"/>
    <cellStyle name="Normal 640" xfId="88"/>
    <cellStyle name="Normal 643" xfId="89"/>
    <cellStyle name="Normal 646" xfId="90"/>
    <cellStyle name="Normal 647" xfId="91"/>
    <cellStyle name="Normal 649" xfId="92"/>
    <cellStyle name="Normal 650" xfId="93"/>
    <cellStyle name="Normal 651" xfId="94"/>
    <cellStyle name="Normal 652" xfId="95"/>
    <cellStyle name="Normal 653" xfId="96"/>
    <cellStyle name="Normal 654" xfId="97"/>
    <cellStyle name="Normal 655" xfId="98"/>
    <cellStyle name="Normal 656" xfId="99"/>
    <cellStyle name="Normal 657" xfId="100"/>
    <cellStyle name="Normal 658" xfId="101"/>
    <cellStyle name="Normal 659" xfId="102"/>
    <cellStyle name="Normal 660" xfId="103"/>
    <cellStyle name="Normal 662" xfId="104"/>
    <cellStyle name="Normal 663" xfId="105"/>
    <cellStyle name="Normal 664" xfId="106"/>
    <cellStyle name="Normal 665" xfId="107"/>
    <cellStyle name="Normal 667" xfId="108"/>
    <cellStyle name="Normal 673" xfId="109"/>
    <cellStyle name="Normal 674" xfId="110"/>
    <cellStyle name="Normal 675" xfId="111"/>
    <cellStyle name="Normal 676" xfId="112"/>
    <cellStyle name="Normal 677" xfId="113"/>
    <cellStyle name="Normal 678" xfId="114"/>
    <cellStyle name="Normal 679" xfId="115"/>
    <cellStyle name="Normal 684" xfId="116"/>
    <cellStyle name="Normal 713" xfId="117"/>
    <cellStyle name="Normal 714" xfId="118"/>
    <cellStyle name="Normal 715" xfId="119"/>
    <cellStyle name="Normal 744" xfId="120"/>
    <cellStyle name="Normal 802" xfId="121"/>
    <cellStyle name="Normal 944" xfId="122"/>
    <cellStyle name="Normal 947" xfId="123"/>
    <cellStyle name="Normal 952" xfId="124"/>
    <cellStyle name="Normal 957" xfId="125"/>
    <cellStyle name="Normal 958" xfId="126"/>
    <cellStyle name="Normal 959" xfId="127"/>
    <cellStyle name="Normal 960" xfId="128"/>
    <cellStyle name="Normal 961" xfId="129"/>
    <cellStyle name="Normal 962" xfId="130"/>
    <cellStyle name="Normal 963" xfId="131"/>
    <cellStyle name="Normal 964" xfId="132"/>
    <cellStyle name="Normal 965" xfId="133"/>
    <cellStyle name="Normal 966" xfId="134"/>
    <cellStyle name="Normal 967" xfId="135"/>
    <cellStyle name="Normal 971" xfId="136"/>
    <cellStyle name="Normal 986" xfId="137"/>
    <cellStyle name="Normal_BALANCE30-06-99" xfId="138"/>
    <cellStyle name="Notas" xfId="139"/>
    <cellStyle name="Percent" xfId="140"/>
    <cellStyle name="Salida" xfId="141"/>
    <cellStyle name="Texto de advertencia" xfId="142"/>
    <cellStyle name="Texto explicativo" xfId="143"/>
    <cellStyle name="Título" xfId="144"/>
    <cellStyle name="Título 1" xfId="145"/>
    <cellStyle name="Título 2" xfId="146"/>
    <cellStyle name="Título 3" xfId="147"/>
    <cellStyle name="Total" xfId="14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styles" Target="styles.xml" /><Relationship Id="rId49" Type="http://schemas.openxmlformats.org/officeDocument/2006/relationships/sharedStrings" Target="sharedStrings.xml" /><Relationship Id="rId5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s>
</file>

<file path=xl/drawings/_rels/drawing2.xml.rels><?xml version="1.0" encoding="utf-8" standalone="yes"?><Relationships xmlns="http://schemas.openxmlformats.org/package/2006/relationships"><Relationship Id="rId1"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466725</xdr:colOff>
      <xdr:row>33</xdr:row>
      <xdr:rowOff>180975</xdr:rowOff>
    </xdr:from>
    <xdr:to>
      <xdr:col>2</xdr:col>
      <xdr:colOff>190500</xdr:colOff>
      <xdr:row>40</xdr:row>
      <xdr:rowOff>66675</xdr:rowOff>
    </xdr:to>
    <xdr:pic>
      <xdr:nvPicPr>
        <xdr:cNvPr id="1" name="Picture 1" descr="Línea de firma de Microsoft Office..."/>
        <xdr:cNvPicPr preferRelativeResize="1">
          <a:picLocks noChangeAspect="1"/>
        </xdr:cNvPicPr>
      </xdr:nvPicPr>
      <xdr:blipFill>
        <a:blip r:embed="rId1"/>
        <a:stretch>
          <a:fillRect/>
        </a:stretch>
      </xdr:blipFill>
      <xdr:spPr>
        <a:xfrm>
          <a:off x="466725" y="6838950"/>
          <a:ext cx="2438400" cy="1219200"/>
        </a:xfrm>
        <a:prstGeom prst="rect">
          <a:avLst/>
        </a:prstGeom>
        <a:noFill/>
        <a:ln w="9525" cmpd="sng">
          <a:noFill/>
        </a:ln>
      </xdr:spPr>
    </xdr:pic>
    <xdr:clientData/>
  </xdr:twoCellAnchor>
  <xdr:twoCellAnchor editAs="oneCell">
    <xdr:from>
      <xdr:col>3</xdr:col>
      <xdr:colOff>1066800</xdr:colOff>
      <xdr:row>34</xdr:row>
      <xdr:rowOff>19050</xdr:rowOff>
    </xdr:from>
    <xdr:to>
      <xdr:col>5</xdr:col>
      <xdr:colOff>390525</xdr:colOff>
      <xdr:row>40</xdr:row>
      <xdr:rowOff>95250</xdr:rowOff>
    </xdr:to>
    <xdr:pic>
      <xdr:nvPicPr>
        <xdr:cNvPr id="2" name="Picture 2" descr="Línea de firma de Microsoft Office..."/>
        <xdr:cNvPicPr preferRelativeResize="1">
          <a:picLocks noChangeAspect="1"/>
        </xdr:cNvPicPr>
      </xdr:nvPicPr>
      <xdr:blipFill>
        <a:blip r:embed="rId2"/>
        <a:stretch>
          <a:fillRect/>
        </a:stretch>
      </xdr:blipFill>
      <xdr:spPr>
        <a:xfrm>
          <a:off x="5029200" y="6867525"/>
          <a:ext cx="2438400" cy="1219200"/>
        </a:xfrm>
        <a:prstGeom prst="rect">
          <a:avLst/>
        </a:prstGeom>
        <a:noFill/>
        <a:ln w="9525" cmpd="sng">
          <a:noFill/>
        </a:ln>
      </xdr:spPr>
    </xdr:pic>
    <xdr:clientData/>
  </xdr:twoCellAnchor>
  <xdr:twoCellAnchor editAs="oneCell">
    <xdr:from>
      <xdr:col>0</xdr:col>
      <xdr:colOff>161925</xdr:colOff>
      <xdr:row>40</xdr:row>
      <xdr:rowOff>695325</xdr:rowOff>
    </xdr:from>
    <xdr:to>
      <xdr:col>1</xdr:col>
      <xdr:colOff>1295400</xdr:colOff>
      <xdr:row>46</xdr:row>
      <xdr:rowOff>66675</xdr:rowOff>
    </xdr:to>
    <xdr:pic>
      <xdr:nvPicPr>
        <xdr:cNvPr id="3" name="Picture 3" descr="Línea de firma de Microsoft Office..."/>
        <xdr:cNvPicPr preferRelativeResize="1">
          <a:picLocks noChangeAspect="1"/>
        </xdr:cNvPicPr>
      </xdr:nvPicPr>
      <xdr:blipFill>
        <a:blip r:embed="rId3"/>
        <a:stretch>
          <a:fillRect/>
        </a:stretch>
      </xdr:blipFill>
      <xdr:spPr>
        <a:xfrm>
          <a:off x="161925" y="8686800"/>
          <a:ext cx="2438400" cy="1219200"/>
        </a:xfrm>
        <a:prstGeom prst="rect">
          <a:avLst/>
        </a:prstGeom>
        <a:noFill/>
        <a:ln w="9525" cmpd="sng">
          <a:noFill/>
        </a:ln>
      </xdr:spPr>
    </xdr:pic>
    <xdr:clientData/>
  </xdr:twoCellAnchor>
  <xdr:twoCellAnchor editAs="oneCell">
    <xdr:from>
      <xdr:col>3</xdr:col>
      <xdr:colOff>942975</xdr:colOff>
      <xdr:row>40</xdr:row>
      <xdr:rowOff>781050</xdr:rowOff>
    </xdr:from>
    <xdr:to>
      <xdr:col>5</xdr:col>
      <xdr:colOff>266700</xdr:colOff>
      <xdr:row>46</xdr:row>
      <xdr:rowOff>152400</xdr:rowOff>
    </xdr:to>
    <xdr:pic>
      <xdr:nvPicPr>
        <xdr:cNvPr id="4" name="Picture 4" descr="Línea de firma de Microsoft Office..."/>
        <xdr:cNvPicPr preferRelativeResize="1">
          <a:picLocks noChangeAspect="1"/>
        </xdr:cNvPicPr>
      </xdr:nvPicPr>
      <xdr:blipFill>
        <a:blip r:embed="rId4"/>
        <a:stretch>
          <a:fillRect/>
        </a:stretch>
      </xdr:blipFill>
      <xdr:spPr>
        <a:xfrm>
          <a:off x="4905375" y="8772525"/>
          <a:ext cx="2438400" cy="1219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295275</xdr:colOff>
      <xdr:row>1</xdr:row>
      <xdr:rowOff>104775</xdr:rowOff>
    </xdr:from>
    <xdr:to>
      <xdr:col>0</xdr:col>
      <xdr:colOff>1219200</xdr:colOff>
      <xdr:row>3</xdr:row>
      <xdr:rowOff>28575</xdr:rowOff>
    </xdr:to>
    <xdr:pic>
      <xdr:nvPicPr>
        <xdr:cNvPr id="1" name="2 Imagen" descr="LOGO - IMPORT CENTER 2021.png"/>
        <xdr:cNvPicPr preferRelativeResize="1">
          <a:picLocks noChangeAspect="1"/>
        </xdr:cNvPicPr>
      </xdr:nvPicPr>
      <xdr:blipFill>
        <a:blip r:embed="rId1"/>
        <a:stretch>
          <a:fillRect/>
        </a:stretch>
      </xdr:blipFill>
      <xdr:spPr>
        <a:xfrm>
          <a:off x="295275" y="266700"/>
          <a:ext cx="923925" cy="2476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8</xdr:row>
      <xdr:rowOff>28575</xdr:rowOff>
    </xdr:from>
    <xdr:to>
      <xdr:col>8</xdr:col>
      <xdr:colOff>85725</xdr:colOff>
      <xdr:row>10</xdr:row>
      <xdr:rowOff>171450</xdr:rowOff>
    </xdr:to>
    <xdr:sp>
      <xdr:nvSpPr>
        <xdr:cNvPr id="1" name="CuadroTexto 2"/>
        <xdr:cNvSpPr txBox="1">
          <a:spLocks noChangeArrowheads="1"/>
        </xdr:cNvSpPr>
      </xdr:nvSpPr>
      <xdr:spPr>
        <a:xfrm>
          <a:off x="47625" y="1552575"/>
          <a:ext cx="7858125" cy="5238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La Reserva de Revalúo</a:t>
          </a:r>
          <a:r>
            <a:rPr lang="en-US" cap="none" sz="1100" b="0" i="0" u="none" baseline="0">
              <a:solidFill>
                <a:srgbClr val="000000"/>
              </a:solidFill>
              <a:latin typeface="Calibri"/>
              <a:ea typeface="Calibri"/>
              <a:cs typeface="Calibri"/>
            </a:rPr>
            <a:t> se realiza al cierre de cada Ejercicio y según los indices establecidos por SET . </a:t>
          </a:r>
        </a:p>
      </xdr:txBody>
    </xdr:sp>
    <xdr:clientData/>
  </xdr:twoCellAnchor>
  <xdr:twoCellAnchor>
    <xdr:from>
      <xdr:col>0</xdr:col>
      <xdr:colOff>47625</xdr:colOff>
      <xdr:row>12</xdr:row>
      <xdr:rowOff>38100</xdr:rowOff>
    </xdr:from>
    <xdr:to>
      <xdr:col>8</xdr:col>
      <xdr:colOff>85725</xdr:colOff>
      <xdr:row>14</xdr:row>
      <xdr:rowOff>180975</xdr:rowOff>
    </xdr:to>
    <xdr:sp>
      <xdr:nvSpPr>
        <xdr:cNvPr id="2" name="CuadroTexto 3"/>
        <xdr:cNvSpPr txBox="1">
          <a:spLocks noChangeArrowheads="1"/>
        </xdr:cNvSpPr>
      </xdr:nvSpPr>
      <xdr:spPr>
        <a:xfrm>
          <a:off x="47625" y="2324100"/>
          <a:ext cx="7858125" cy="5238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La Reserva Legal</a:t>
          </a:r>
          <a:r>
            <a:rPr lang="en-US" cap="none" sz="1100" b="0" i="0" u="none" baseline="0">
              <a:solidFill>
                <a:srgbClr val="000000"/>
              </a:solidFill>
              <a:latin typeface="Calibri"/>
              <a:ea typeface="Calibri"/>
              <a:cs typeface="Calibri"/>
            </a:rPr>
            <a:t> se realiza al cierre de cada Ejercicio.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0</xdr:col>
      <xdr:colOff>47625</xdr:colOff>
      <xdr:row>16</xdr:row>
      <xdr:rowOff>28575</xdr:rowOff>
    </xdr:from>
    <xdr:to>
      <xdr:col>8</xdr:col>
      <xdr:colOff>85725</xdr:colOff>
      <xdr:row>18</xdr:row>
      <xdr:rowOff>171450</xdr:rowOff>
    </xdr:to>
    <xdr:sp>
      <xdr:nvSpPr>
        <xdr:cNvPr id="3" name="CuadroTexto 4"/>
        <xdr:cNvSpPr txBox="1">
          <a:spLocks noChangeArrowheads="1"/>
        </xdr:cNvSpPr>
      </xdr:nvSpPr>
      <xdr:spPr>
        <a:xfrm>
          <a:off x="47625" y="3076575"/>
          <a:ext cx="7858125" cy="5238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Breve Descripción</a:t>
          </a:r>
          <a:r>
            <a:rPr lang="en-US" cap="none" sz="1100" b="0" i="0" u="none" baseline="0">
              <a:solidFill>
                <a:srgbClr val="000000"/>
              </a:solidFill>
              <a:latin typeface="Calibri"/>
              <a:ea typeface="Calibri"/>
              <a:cs typeface="Calibri"/>
            </a:rPr>
            <a:t>
</a:t>
          </a:r>
        </a:p>
      </xdr:txBody>
    </xdr:sp>
    <xdr:clientData/>
  </xdr:twoCellAnchor>
  <xdr:twoCellAnchor>
    <xdr:from>
      <xdr:col>0</xdr:col>
      <xdr:colOff>47625</xdr:colOff>
      <xdr:row>23</xdr:row>
      <xdr:rowOff>85725</xdr:rowOff>
    </xdr:from>
    <xdr:to>
      <xdr:col>8</xdr:col>
      <xdr:colOff>85725</xdr:colOff>
      <xdr:row>26</xdr:row>
      <xdr:rowOff>38100</xdr:rowOff>
    </xdr:to>
    <xdr:sp>
      <xdr:nvSpPr>
        <xdr:cNvPr id="4" name="CuadroTexto 5"/>
        <xdr:cNvSpPr txBox="1">
          <a:spLocks noChangeArrowheads="1"/>
        </xdr:cNvSpPr>
      </xdr:nvSpPr>
      <xdr:spPr>
        <a:xfrm>
          <a:off x="47625" y="4467225"/>
          <a:ext cx="7858125" cy="5238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En</a:t>
          </a:r>
          <a:r>
            <a:rPr lang="en-US" cap="none" sz="1100" b="0" i="0" u="none" baseline="0">
              <a:solidFill>
                <a:srgbClr val="000000"/>
              </a:solidFill>
              <a:latin typeface="Calibri"/>
              <a:ea typeface="Calibri"/>
              <a:cs typeface="Calibri"/>
            </a:rPr>
            <a:t> esta cuenta se encuentran  los resultados no distribuidos hasta tanto se difina el destino de los mismos.</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H50"/>
  <sheetViews>
    <sheetView tabSelected="1" zoomScalePageLayoutView="0" workbookViewId="0" topLeftCell="A28">
      <selection activeCell="E38" sqref="E38:F38"/>
    </sheetView>
  </sheetViews>
  <sheetFormatPr defaultColWidth="11.421875" defaultRowHeight="15"/>
  <cols>
    <col min="1" max="1" width="19.57421875" style="475" customWidth="1"/>
    <col min="2" max="2" width="21.140625" style="475" customWidth="1"/>
    <col min="3" max="3" width="18.7109375" style="475" customWidth="1"/>
    <col min="4" max="4" width="16.8515625" style="475" customWidth="1"/>
    <col min="5" max="5" width="29.8515625" style="475" customWidth="1"/>
    <col min="6" max="16384" width="11.421875" style="475" customWidth="1"/>
  </cols>
  <sheetData>
    <row r="1" spans="1:6" ht="15.75">
      <c r="A1" s="481"/>
      <c r="B1" s="482"/>
      <c r="C1" s="482"/>
      <c r="D1" s="483"/>
      <c r="E1" s="484"/>
      <c r="F1" s="485"/>
    </row>
    <row r="2" spans="1:6" ht="15.75">
      <c r="A2" s="486"/>
      <c r="B2" s="487"/>
      <c r="C2" s="487"/>
      <c r="D2" s="488"/>
      <c r="E2" s="489"/>
      <c r="F2" s="485"/>
    </row>
    <row r="3" spans="1:6" ht="18">
      <c r="A3" s="490" t="s">
        <v>900</v>
      </c>
      <c r="B3" s="491"/>
      <c r="C3" s="492"/>
      <c r="D3" s="492"/>
      <c r="E3" s="493"/>
      <c r="F3" s="485"/>
    </row>
    <row r="4" spans="1:6" ht="15">
      <c r="A4" s="494"/>
      <c r="B4" s="495"/>
      <c r="C4" s="495"/>
      <c r="D4" s="495"/>
      <c r="E4" s="496"/>
      <c r="F4" s="485"/>
    </row>
    <row r="5" spans="1:7" s="83" customFormat="1" ht="17.25" customHeight="1">
      <c r="A5" s="530" t="s">
        <v>1003</v>
      </c>
      <c r="B5" s="161"/>
      <c r="C5" s="161"/>
      <c r="D5" s="161"/>
      <c r="E5" s="637"/>
      <c r="F5" s="161"/>
      <c r="G5" s="161"/>
    </row>
    <row r="6" spans="1:7" s="83" customFormat="1" ht="15">
      <c r="A6" s="530" t="s">
        <v>911</v>
      </c>
      <c r="B6" s="161"/>
      <c r="C6" s="161"/>
      <c r="D6" s="161"/>
      <c r="E6" s="637"/>
      <c r="F6" s="161"/>
      <c r="G6" s="161"/>
    </row>
    <row r="7" spans="1:6" s="83" customFormat="1" ht="14.25">
      <c r="A7" s="501"/>
      <c r="B7" s="502"/>
      <c r="C7" s="502"/>
      <c r="D7" s="502"/>
      <c r="E7" s="503"/>
      <c r="F7" s="497"/>
    </row>
    <row r="8" spans="1:6" s="83" customFormat="1" ht="15">
      <c r="A8" s="498" t="s">
        <v>976</v>
      </c>
      <c r="B8" s="499"/>
      <c r="C8" s="499"/>
      <c r="D8" s="499"/>
      <c r="E8" s="500"/>
      <c r="F8" s="497"/>
    </row>
    <row r="9" spans="1:7" s="83" customFormat="1" ht="14.25">
      <c r="A9" s="501"/>
      <c r="B9" s="502"/>
      <c r="C9" s="502"/>
      <c r="D9" s="502"/>
      <c r="E9" s="503"/>
      <c r="F9" s="638"/>
      <c r="G9" s="639"/>
    </row>
    <row r="10" spans="1:6" s="83" customFormat="1" ht="14.25">
      <c r="A10" s="498" t="s">
        <v>912</v>
      </c>
      <c r="B10" s="499"/>
      <c r="C10" s="499"/>
      <c r="D10" s="499"/>
      <c r="E10" s="500"/>
      <c r="F10" s="497"/>
    </row>
    <row r="11" spans="1:7" s="83" customFormat="1" ht="15">
      <c r="A11" s="501"/>
      <c r="B11" s="502"/>
      <c r="C11" s="502"/>
      <c r="D11" s="502"/>
      <c r="E11" s="503"/>
      <c r="F11" s="497"/>
      <c r="G11" s="531"/>
    </row>
    <row r="12" spans="1:6" s="83" customFormat="1" ht="14.25">
      <c r="A12" s="498" t="s">
        <v>913</v>
      </c>
      <c r="B12" s="499"/>
      <c r="C12" s="499"/>
      <c r="D12" s="499"/>
      <c r="E12" s="500"/>
      <c r="F12" s="497"/>
    </row>
    <row r="13" spans="1:6" s="83" customFormat="1" ht="14.25">
      <c r="A13" s="501"/>
      <c r="B13" s="502"/>
      <c r="C13" s="502"/>
      <c r="D13" s="502"/>
      <c r="E13" s="503"/>
      <c r="F13" s="497"/>
    </row>
    <row r="14" spans="1:6" s="83" customFormat="1" ht="36" customHeight="1">
      <c r="A14" s="658" t="s">
        <v>914</v>
      </c>
      <c r="B14" s="659"/>
      <c r="C14" s="659"/>
      <c r="D14" s="659"/>
      <c r="E14" s="660"/>
      <c r="F14" s="497"/>
    </row>
    <row r="15" spans="1:6" s="83" customFormat="1" ht="14.25">
      <c r="A15" s="661" t="s">
        <v>915</v>
      </c>
      <c r="B15" s="662"/>
      <c r="C15" s="662"/>
      <c r="D15" s="662"/>
      <c r="E15" s="663"/>
      <c r="F15" s="497"/>
    </row>
    <row r="16" spans="1:6" s="83" customFormat="1" ht="14.25">
      <c r="A16" s="501"/>
      <c r="B16" s="502"/>
      <c r="C16" s="502"/>
      <c r="D16" s="502"/>
      <c r="E16" s="503"/>
      <c r="F16" s="497"/>
    </row>
    <row r="17" spans="1:6" s="83" customFormat="1" ht="30.75" customHeight="1">
      <c r="A17" s="661" t="s">
        <v>916</v>
      </c>
      <c r="B17" s="662"/>
      <c r="C17" s="662"/>
      <c r="D17" s="662"/>
      <c r="E17" s="663"/>
      <c r="F17" s="497"/>
    </row>
    <row r="18" spans="1:6" s="83" customFormat="1" ht="13.5" customHeight="1">
      <c r="A18" s="504"/>
      <c r="B18" s="505"/>
      <c r="C18" s="505"/>
      <c r="D18" s="505"/>
      <c r="E18" s="506"/>
      <c r="F18" s="497"/>
    </row>
    <row r="19" spans="1:6" s="83" customFormat="1" ht="14.25">
      <c r="A19" s="498" t="s">
        <v>917</v>
      </c>
      <c r="B19" s="499"/>
      <c r="C19" s="499"/>
      <c r="D19" s="499"/>
      <c r="E19" s="500"/>
      <c r="F19" s="497"/>
    </row>
    <row r="20" spans="1:6" s="83" customFormat="1" ht="14.25">
      <c r="A20" s="501"/>
      <c r="B20" s="502"/>
      <c r="C20" s="502"/>
      <c r="D20" s="502"/>
      <c r="E20" s="503"/>
      <c r="F20" s="497"/>
    </row>
    <row r="21" spans="1:6" s="83" customFormat="1" ht="14.25">
      <c r="A21" s="498" t="s">
        <v>901</v>
      </c>
      <c r="B21" s="499"/>
      <c r="C21" s="499"/>
      <c r="D21" s="499"/>
      <c r="E21" s="500"/>
      <c r="F21" s="497"/>
    </row>
    <row r="22" spans="1:6" s="83" customFormat="1" ht="14.25">
      <c r="A22" s="501"/>
      <c r="B22" s="502"/>
      <c r="C22" s="502"/>
      <c r="D22" s="502"/>
      <c r="E22" s="503"/>
      <c r="F22" s="497"/>
    </row>
    <row r="23" spans="1:6" s="83" customFormat="1" ht="14.25">
      <c r="A23" s="498" t="s">
        <v>902</v>
      </c>
      <c r="B23" s="499"/>
      <c r="C23" s="499"/>
      <c r="D23" s="499"/>
      <c r="E23" s="500"/>
      <c r="F23" s="497"/>
    </row>
    <row r="24" spans="1:6" s="83" customFormat="1" ht="14.25">
      <c r="A24" s="501"/>
      <c r="B24" s="502"/>
      <c r="C24" s="502"/>
      <c r="D24" s="502"/>
      <c r="E24" s="503"/>
      <c r="F24" s="497"/>
    </row>
    <row r="25" spans="1:6" s="83" customFormat="1" ht="14.25">
      <c r="A25" s="507"/>
      <c r="B25" s="508"/>
      <c r="C25" s="508"/>
      <c r="D25" s="508" t="s">
        <v>903</v>
      </c>
      <c r="E25" s="509" t="s">
        <v>904</v>
      </c>
      <c r="F25" s="497"/>
    </row>
    <row r="26" spans="1:6" s="83" customFormat="1" ht="14.25">
      <c r="A26" s="510" t="s">
        <v>905</v>
      </c>
      <c r="B26" s="511" t="s">
        <v>906</v>
      </c>
      <c r="C26" s="512" t="s">
        <v>907</v>
      </c>
      <c r="D26" s="512" t="s">
        <v>908</v>
      </c>
      <c r="E26" s="513" t="s">
        <v>908</v>
      </c>
      <c r="F26" s="497"/>
    </row>
    <row r="27" spans="1:6" s="83" customFormat="1" ht="14.25">
      <c r="A27" s="514">
        <v>4000</v>
      </c>
      <c r="B27" s="515">
        <v>5</v>
      </c>
      <c r="C27" s="508" t="s">
        <v>909</v>
      </c>
      <c r="D27" s="516">
        <v>4000000000</v>
      </c>
      <c r="E27" s="517">
        <f>+D27</f>
        <v>4000000000</v>
      </c>
      <c r="F27" s="497"/>
    </row>
    <row r="28" spans="1:6" s="83" customFormat="1" ht="14.25">
      <c r="A28" s="514">
        <v>16000</v>
      </c>
      <c r="B28" s="515">
        <v>1</v>
      </c>
      <c r="C28" s="508" t="s">
        <v>910</v>
      </c>
      <c r="D28" s="516">
        <v>16000000000</v>
      </c>
      <c r="E28" s="517">
        <f>+D28</f>
        <v>16000000000</v>
      </c>
      <c r="F28" s="497"/>
    </row>
    <row r="29" spans="1:6" s="83" customFormat="1" ht="15">
      <c r="A29" s="518">
        <v>100000</v>
      </c>
      <c r="B29" s="519">
        <v>12</v>
      </c>
      <c r="C29" s="508"/>
      <c r="D29" s="520">
        <f>+D27+D28</f>
        <v>20000000000</v>
      </c>
      <c r="E29" s="521">
        <f>+E27+E28</f>
        <v>20000000000</v>
      </c>
      <c r="F29" s="497"/>
    </row>
    <row r="30" spans="1:6" s="83" customFormat="1" ht="15" thickBot="1">
      <c r="A30" s="522"/>
      <c r="B30" s="523"/>
      <c r="C30" s="523"/>
      <c r="D30" s="524"/>
      <c r="E30" s="525"/>
      <c r="F30" s="497"/>
    </row>
    <row r="34" ht="15"/>
    <row r="35" ht="15"/>
    <row r="36" ht="15"/>
    <row r="37" spans="1:8" ht="15">
      <c r="A37" s="664"/>
      <c r="B37" s="664"/>
      <c r="C37" s="657"/>
      <c r="D37" s="657"/>
      <c r="E37" s="657"/>
      <c r="F37" s="657"/>
      <c r="G37" s="526"/>
      <c r="H37" s="161"/>
    </row>
    <row r="38" spans="1:8" ht="15">
      <c r="A38" s="664"/>
      <c r="B38" s="664"/>
      <c r="C38" s="657"/>
      <c r="D38" s="657"/>
      <c r="E38" s="657"/>
      <c r="F38" s="657"/>
      <c r="G38" s="527"/>
      <c r="H38" s="161"/>
    </row>
    <row r="39" ht="15"/>
    <row r="40" s="67" customFormat="1" ht="15">
      <c r="A40" s="528"/>
    </row>
    <row r="41" ht="75" customHeight="1">
      <c r="A41" s="529"/>
    </row>
    <row r="42" spans="2:4" ht="15">
      <c r="B42" s="664"/>
      <c r="C42" s="664"/>
      <c r="D42" s="664"/>
    </row>
    <row r="43" spans="2:4" ht="15">
      <c r="B43" s="655"/>
      <c r="C43" s="655"/>
      <c r="D43" s="655"/>
    </row>
    <row r="44" spans="2:4" ht="12.75" customHeight="1">
      <c r="B44" s="656"/>
      <c r="C44" s="656"/>
      <c r="D44" s="656"/>
    </row>
    <row r="45" spans="2:4" ht="12.75" customHeight="1">
      <c r="B45" s="656"/>
      <c r="C45" s="656"/>
      <c r="D45" s="656"/>
    </row>
    <row r="46" spans="1:5" ht="15">
      <c r="A46" s="485"/>
      <c r="B46" s="656"/>
      <c r="C46" s="656"/>
      <c r="D46" s="656"/>
      <c r="E46" s="485"/>
    </row>
    <row r="47" spans="1:5" ht="15">
      <c r="A47" s="485"/>
      <c r="B47" s="656"/>
      <c r="C47" s="656"/>
      <c r="D47" s="656"/>
      <c r="E47" s="485"/>
    </row>
    <row r="48" spans="1:5" ht="15">
      <c r="A48" s="485"/>
      <c r="B48" s="656"/>
      <c r="C48" s="656"/>
      <c r="D48" s="656"/>
      <c r="E48" s="485"/>
    </row>
    <row r="49" spans="1:5" ht="15">
      <c r="A49" s="485"/>
      <c r="D49" s="485"/>
      <c r="E49" s="485"/>
    </row>
    <row r="50" spans="4:5" ht="15">
      <c r="D50" s="485"/>
      <c r="E50" s="485"/>
    </row>
  </sheetData>
  <sheetProtection/>
  <mergeCells count="12">
    <mergeCell ref="A14:E14"/>
    <mergeCell ref="A15:E15"/>
    <mergeCell ref="A17:E17"/>
    <mergeCell ref="A37:B37"/>
    <mergeCell ref="A38:B38"/>
    <mergeCell ref="B42:D42"/>
    <mergeCell ref="B43:D43"/>
    <mergeCell ref="B44:D48"/>
    <mergeCell ref="C37:D37"/>
    <mergeCell ref="E37:F37"/>
    <mergeCell ref="C38:D38"/>
    <mergeCell ref="E38:F38"/>
  </mergeCells>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sheetPr codeName="Hoja9"/>
  <dimension ref="A1:IV70"/>
  <sheetViews>
    <sheetView zoomScalePageLayoutView="0" workbookViewId="0" topLeftCell="A1">
      <selection activeCell="A1" sqref="A1"/>
    </sheetView>
  </sheetViews>
  <sheetFormatPr defaultColWidth="11.421875" defaultRowHeight="15"/>
  <cols>
    <col min="1" max="1" width="72.8515625" style="0" bestFit="1" customWidth="1"/>
    <col min="2" max="2" width="16.140625" style="0" customWidth="1"/>
    <col min="3" max="3" width="18.28125" style="0" customWidth="1"/>
    <col min="6" max="6" width="11.421875" style="0" customWidth="1"/>
    <col min="7" max="30" width="11.421875" style="154" customWidth="1"/>
  </cols>
  <sheetData>
    <row r="1" spans="1:6" ht="15">
      <c r="A1" s="159" t="str">
        <f>+'Nota 3'!A1</f>
        <v>IMPORT CENTER S.A.</v>
      </c>
      <c r="B1" s="154"/>
      <c r="C1" s="154"/>
      <c r="D1" s="177" t="s">
        <v>129</v>
      </c>
      <c r="E1" s="154"/>
      <c r="F1" s="154"/>
    </row>
    <row r="2" spans="1:6" ht="15">
      <c r="A2" s="154"/>
      <c r="B2" s="154"/>
      <c r="C2" s="154"/>
      <c r="D2" s="154"/>
      <c r="E2" s="154"/>
      <c r="F2" s="154"/>
    </row>
    <row r="3" spans="1:6" ht="15">
      <c r="A3" s="154"/>
      <c r="B3" s="154"/>
      <c r="C3" s="154"/>
      <c r="D3" s="154"/>
      <c r="E3" s="154"/>
      <c r="F3" s="154"/>
    </row>
    <row r="4" spans="1:6" ht="15">
      <c r="A4" s="738" t="s">
        <v>271</v>
      </c>
      <c r="B4" s="738"/>
      <c r="C4" s="738"/>
      <c r="D4" s="154"/>
      <c r="E4" s="154"/>
      <c r="F4" s="154"/>
    </row>
    <row r="5" spans="1:6" ht="15">
      <c r="A5" s="153"/>
      <c r="B5" s="153"/>
      <c r="C5" s="153"/>
      <c r="D5" s="154"/>
      <c r="E5" s="154"/>
      <c r="F5" s="154"/>
    </row>
    <row r="6" spans="1:6" ht="15">
      <c r="A6" s="152" t="s">
        <v>4</v>
      </c>
      <c r="B6" s="153"/>
      <c r="C6" s="153"/>
      <c r="D6" s="154"/>
      <c r="E6" s="154"/>
      <c r="F6" s="154"/>
    </row>
    <row r="7" spans="1:6" ht="15">
      <c r="A7" s="152"/>
      <c r="B7" s="739" t="s">
        <v>293</v>
      </c>
      <c r="C7" s="739"/>
      <c r="D7" s="154"/>
      <c r="E7" s="154"/>
      <c r="F7" s="154"/>
    </row>
    <row r="8" spans="1:6" ht="15">
      <c r="A8" s="49" t="s">
        <v>5</v>
      </c>
      <c r="B8" s="424">
        <f>_xlfn.IFERROR(IF(Indice!B6="","2XX2",YEAR(Indice!B6)),"2XX2")</f>
        <v>2021</v>
      </c>
      <c r="C8" s="424">
        <f>_xlfn.IFERROR(YEAR(Indice!B6-365),"2XX1")</f>
        <v>2020</v>
      </c>
      <c r="D8" s="154"/>
      <c r="E8" s="154"/>
      <c r="F8" s="154"/>
    </row>
    <row r="9" spans="1:6" ht="15">
      <c r="A9" s="154" t="s">
        <v>422</v>
      </c>
      <c r="B9" s="154"/>
      <c r="C9" s="154"/>
      <c r="D9" s="154"/>
      <c r="E9" s="154"/>
      <c r="F9" s="154"/>
    </row>
    <row r="10" spans="1:30" s="287" customFormat="1" ht="15">
      <c r="A10" s="154" t="s">
        <v>417</v>
      </c>
      <c r="B10" s="154"/>
      <c r="C10" s="154"/>
      <c r="D10" s="154"/>
      <c r="E10" s="154"/>
      <c r="F10" s="154"/>
      <c r="G10" s="154"/>
      <c r="H10" s="154"/>
      <c r="I10" s="154"/>
      <c r="J10" s="154"/>
      <c r="K10" s="154"/>
      <c r="L10" s="154"/>
      <c r="M10" s="154"/>
      <c r="N10" s="154"/>
      <c r="O10" s="154"/>
      <c r="P10" s="154"/>
      <c r="Q10" s="154"/>
      <c r="R10" s="154"/>
      <c r="S10" s="154"/>
      <c r="T10" s="154"/>
      <c r="U10" s="154"/>
      <c r="V10" s="154"/>
      <c r="W10" s="154"/>
      <c r="X10" s="154"/>
      <c r="Y10" s="154"/>
      <c r="Z10" s="154"/>
      <c r="AA10" s="154"/>
      <c r="AB10" s="154"/>
      <c r="AC10" s="154"/>
      <c r="AD10" s="154"/>
    </row>
    <row r="11" spans="1:30" s="287" customFormat="1" ht="15">
      <c r="A11" s="154" t="s">
        <v>416</v>
      </c>
      <c r="B11" s="154"/>
      <c r="C11" s="154"/>
      <c r="D11" s="154"/>
      <c r="E11" s="154"/>
      <c r="F11" s="154"/>
      <c r="G11" s="154"/>
      <c r="H11" s="154"/>
      <c r="I11" s="154"/>
      <c r="J11" s="154"/>
      <c r="K11" s="154"/>
      <c r="L11" s="154"/>
      <c r="M11" s="154"/>
      <c r="N11" s="154"/>
      <c r="O11" s="154"/>
      <c r="P11" s="154"/>
      <c r="Q11" s="154"/>
      <c r="R11" s="154"/>
      <c r="S11" s="154"/>
      <c r="T11" s="154"/>
      <c r="U11" s="154"/>
      <c r="V11" s="154"/>
      <c r="W11" s="154"/>
      <c r="X11" s="154"/>
      <c r="Y11" s="154"/>
      <c r="Z11" s="154"/>
      <c r="AA11" s="154"/>
      <c r="AB11" s="154"/>
      <c r="AC11" s="154"/>
      <c r="AD11" s="154"/>
    </row>
    <row r="12" spans="1:256" s="319" customFormat="1" ht="15">
      <c r="A12" s="154" t="s">
        <v>423</v>
      </c>
      <c r="B12" s="154"/>
      <c r="C12" s="154"/>
      <c r="D12" s="154"/>
      <c r="E12" s="154"/>
      <c r="F12" s="154"/>
      <c r="G12" s="154"/>
      <c r="H12" s="154"/>
      <c r="I12" s="154"/>
      <c r="J12" s="154"/>
      <c r="K12" s="154"/>
      <c r="L12" s="154"/>
      <c r="M12" s="154"/>
      <c r="N12" s="154"/>
      <c r="O12" s="154"/>
      <c r="P12" s="154"/>
      <c r="Q12" s="154"/>
      <c r="R12" s="154"/>
      <c r="S12" s="154"/>
      <c r="T12" s="154"/>
      <c r="U12" s="154"/>
      <c r="V12" s="154"/>
      <c r="W12" s="154"/>
      <c r="X12" s="154"/>
      <c r="Y12" s="154"/>
      <c r="Z12" s="154"/>
      <c r="AA12" s="154"/>
      <c r="AB12" s="154"/>
      <c r="AC12" s="154"/>
      <c r="AD12" s="154"/>
      <c r="AE12" s="154"/>
      <c r="AF12" s="154"/>
      <c r="AG12" s="154"/>
      <c r="AH12" s="154"/>
      <c r="AI12" s="154"/>
      <c r="AJ12" s="154"/>
      <c r="AK12" s="154"/>
      <c r="AL12" s="154"/>
      <c r="AM12" s="154"/>
      <c r="AN12" s="154"/>
      <c r="AO12" s="154"/>
      <c r="AP12" s="154"/>
      <c r="AQ12" s="154"/>
      <c r="AR12" s="154"/>
      <c r="AS12" s="154"/>
      <c r="AT12" s="154"/>
      <c r="AU12" s="154"/>
      <c r="AV12" s="154"/>
      <c r="AW12" s="154"/>
      <c r="AX12" s="154"/>
      <c r="AY12" s="154"/>
      <c r="AZ12" s="154"/>
      <c r="BA12" s="154"/>
      <c r="BB12" s="154"/>
      <c r="BC12" s="154"/>
      <c r="BD12" s="154"/>
      <c r="BE12" s="154"/>
      <c r="BF12" s="154"/>
      <c r="BG12" s="154"/>
      <c r="BH12" s="154"/>
      <c r="BI12" s="154"/>
      <c r="BJ12" s="154"/>
      <c r="BK12" s="154"/>
      <c r="BL12" s="154"/>
      <c r="BM12" s="154"/>
      <c r="BN12" s="154"/>
      <c r="BO12" s="154"/>
      <c r="BP12" s="154"/>
      <c r="BQ12" s="154"/>
      <c r="BR12" s="154"/>
      <c r="BS12" s="154"/>
      <c r="BT12" s="154"/>
      <c r="BU12" s="154"/>
      <c r="BV12" s="154"/>
      <c r="BW12" s="154"/>
      <c r="BX12" s="154"/>
      <c r="BY12" s="154"/>
      <c r="BZ12" s="154"/>
      <c r="CA12" s="154"/>
      <c r="CB12" s="154"/>
      <c r="CC12" s="154"/>
      <c r="CD12" s="154"/>
      <c r="CE12" s="154"/>
      <c r="CF12" s="154"/>
      <c r="CG12" s="154"/>
      <c r="CH12" s="154"/>
      <c r="CI12" s="154"/>
      <c r="CJ12" s="154"/>
      <c r="CK12" s="154"/>
      <c r="CL12" s="154"/>
      <c r="CM12" s="154"/>
      <c r="CN12" s="154"/>
      <c r="CO12" s="154"/>
      <c r="CP12" s="154"/>
      <c r="CQ12" s="154"/>
      <c r="CR12" s="154"/>
      <c r="CS12" s="154"/>
      <c r="CT12" s="154"/>
      <c r="CU12" s="154"/>
      <c r="CV12" s="154"/>
      <c r="CW12" s="154"/>
      <c r="CX12" s="154"/>
      <c r="CY12" s="154"/>
      <c r="CZ12" s="154"/>
      <c r="DA12" s="154"/>
      <c r="DB12" s="154"/>
      <c r="DC12" s="154"/>
      <c r="DD12" s="154"/>
      <c r="DE12" s="154"/>
      <c r="DF12" s="154"/>
      <c r="DG12" s="154"/>
      <c r="DH12" s="154"/>
      <c r="DI12" s="154"/>
      <c r="DJ12" s="154"/>
      <c r="DK12" s="154"/>
      <c r="DL12" s="154"/>
      <c r="DM12" s="154"/>
      <c r="DN12" s="154"/>
      <c r="DO12" s="154"/>
      <c r="DP12" s="154"/>
      <c r="DQ12" s="154"/>
      <c r="DR12" s="154"/>
      <c r="DS12" s="154"/>
      <c r="DT12" s="154"/>
      <c r="DU12" s="154"/>
      <c r="DV12" s="154"/>
      <c r="DW12" s="154"/>
      <c r="DX12" s="154"/>
      <c r="DY12" s="154"/>
      <c r="DZ12" s="154"/>
      <c r="EA12" s="154"/>
      <c r="EB12" s="154"/>
      <c r="EC12" s="154"/>
      <c r="ED12" s="154"/>
      <c r="EE12" s="154"/>
      <c r="EF12" s="154"/>
      <c r="EG12" s="154"/>
      <c r="EH12" s="154"/>
      <c r="EI12" s="154"/>
      <c r="EJ12" s="154"/>
      <c r="EK12" s="154"/>
      <c r="EL12" s="154"/>
      <c r="EM12" s="154"/>
      <c r="EN12" s="154"/>
      <c r="EO12" s="154"/>
      <c r="EP12" s="154"/>
      <c r="EQ12" s="154"/>
      <c r="ER12" s="154"/>
      <c r="ES12" s="154"/>
      <c r="ET12" s="154"/>
      <c r="EU12" s="154"/>
      <c r="EV12" s="154"/>
      <c r="EW12" s="154"/>
      <c r="EX12" s="154"/>
      <c r="EY12" s="154"/>
      <c r="EZ12" s="154"/>
      <c r="FA12" s="154"/>
      <c r="FB12" s="154"/>
      <c r="FC12" s="154"/>
      <c r="FD12" s="154"/>
      <c r="FE12" s="154"/>
      <c r="FF12" s="154"/>
      <c r="FG12" s="154"/>
      <c r="FH12" s="154"/>
      <c r="FI12" s="154"/>
      <c r="FJ12" s="154"/>
      <c r="FK12" s="154"/>
      <c r="FL12" s="154"/>
      <c r="FM12" s="154"/>
      <c r="FN12" s="154"/>
      <c r="FO12" s="154"/>
      <c r="FP12" s="154"/>
      <c r="FQ12" s="154"/>
      <c r="FR12" s="154"/>
      <c r="FS12" s="154"/>
      <c r="FT12" s="154"/>
      <c r="FU12" s="154"/>
      <c r="FV12" s="154"/>
      <c r="FW12" s="154"/>
      <c r="FX12" s="154"/>
      <c r="FY12" s="154"/>
      <c r="FZ12" s="154"/>
      <c r="GA12" s="154"/>
      <c r="GB12" s="154"/>
      <c r="GC12" s="154"/>
      <c r="GD12" s="154"/>
      <c r="GE12" s="154"/>
      <c r="GF12" s="154"/>
      <c r="GG12" s="154"/>
      <c r="GH12" s="154"/>
      <c r="GI12" s="154"/>
      <c r="GJ12" s="154"/>
      <c r="GK12" s="154"/>
      <c r="GL12" s="154"/>
      <c r="GM12" s="154"/>
      <c r="GN12" s="154"/>
      <c r="GO12" s="154"/>
      <c r="GP12" s="154"/>
      <c r="GQ12" s="154"/>
      <c r="GR12" s="154"/>
      <c r="GS12" s="154"/>
      <c r="GT12" s="154"/>
      <c r="GU12" s="154"/>
      <c r="GV12" s="154"/>
      <c r="GW12" s="154"/>
      <c r="GX12" s="154"/>
      <c r="GY12" s="154"/>
      <c r="GZ12" s="154"/>
      <c r="HA12" s="154"/>
      <c r="HB12" s="154"/>
      <c r="HC12" s="154"/>
      <c r="HD12" s="154"/>
      <c r="HE12" s="154"/>
      <c r="HF12" s="154"/>
      <c r="HG12" s="154"/>
      <c r="HH12" s="154"/>
      <c r="HI12" s="154"/>
      <c r="HJ12" s="154"/>
      <c r="HK12" s="154"/>
      <c r="HL12" s="154"/>
      <c r="HM12" s="154"/>
      <c r="HN12" s="154"/>
      <c r="HO12" s="154"/>
      <c r="HP12" s="154"/>
      <c r="HQ12" s="154"/>
      <c r="HR12" s="154"/>
      <c r="HS12" s="154"/>
      <c r="HT12" s="154"/>
      <c r="HU12" s="154"/>
      <c r="HV12" s="154"/>
      <c r="HW12" s="154"/>
      <c r="HX12" s="154"/>
      <c r="HY12" s="154"/>
      <c r="HZ12" s="154"/>
      <c r="IA12" s="154"/>
      <c r="IB12" s="154"/>
      <c r="IC12" s="154"/>
      <c r="ID12" s="154"/>
      <c r="IE12" s="154"/>
      <c r="IF12" s="154"/>
      <c r="IG12" s="154"/>
      <c r="IH12" s="154"/>
      <c r="II12" s="154"/>
      <c r="IJ12" s="154"/>
      <c r="IK12" s="154"/>
      <c r="IL12" s="154"/>
      <c r="IM12" s="154"/>
      <c r="IN12" s="154"/>
      <c r="IO12" s="154"/>
      <c r="IP12" s="154"/>
      <c r="IQ12" s="154"/>
      <c r="IR12" s="154"/>
      <c r="IS12" s="154"/>
      <c r="IT12" s="154"/>
      <c r="IU12" s="154"/>
      <c r="IV12" s="154"/>
    </row>
    <row r="13" spans="1:256" s="319" customFormat="1" ht="15">
      <c r="A13" s="154" t="s">
        <v>418</v>
      </c>
      <c r="B13" s="154"/>
      <c r="C13" s="154"/>
      <c r="D13" s="154"/>
      <c r="E13" s="154"/>
      <c r="F13" s="154"/>
      <c r="G13" s="154"/>
      <c r="H13" s="154"/>
      <c r="I13" s="154"/>
      <c r="J13" s="154"/>
      <c r="K13" s="154"/>
      <c r="L13" s="154"/>
      <c r="M13" s="154"/>
      <c r="N13" s="154"/>
      <c r="O13" s="154"/>
      <c r="P13" s="154"/>
      <c r="Q13" s="154"/>
      <c r="R13" s="154"/>
      <c r="S13" s="154"/>
      <c r="T13" s="154"/>
      <c r="U13" s="154"/>
      <c r="V13" s="154"/>
      <c r="W13" s="154"/>
      <c r="X13" s="154"/>
      <c r="Y13" s="154"/>
      <c r="Z13" s="154"/>
      <c r="AA13" s="154"/>
      <c r="AB13" s="154"/>
      <c r="AC13" s="154"/>
      <c r="AD13" s="154"/>
      <c r="AE13" s="154"/>
      <c r="AF13" s="154"/>
      <c r="AG13" s="154"/>
      <c r="AH13" s="154"/>
      <c r="AI13" s="154"/>
      <c r="AJ13" s="154"/>
      <c r="AK13" s="154"/>
      <c r="AL13" s="154"/>
      <c r="AM13" s="154"/>
      <c r="AN13" s="154"/>
      <c r="AO13" s="154"/>
      <c r="AP13" s="154"/>
      <c r="AQ13" s="154"/>
      <c r="AR13" s="154"/>
      <c r="AS13" s="154"/>
      <c r="AT13" s="154"/>
      <c r="AU13" s="154"/>
      <c r="AV13" s="154"/>
      <c r="AW13" s="154"/>
      <c r="AX13" s="154"/>
      <c r="AY13" s="154"/>
      <c r="AZ13" s="154"/>
      <c r="BA13" s="154"/>
      <c r="BB13" s="154"/>
      <c r="BC13" s="154"/>
      <c r="BD13" s="154"/>
      <c r="BE13" s="154"/>
      <c r="BF13" s="154"/>
      <c r="BG13" s="154"/>
      <c r="BH13" s="154"/>
      <c r="BI13" s="154"/>
      <c r="BJ13" s="154"/>
      <c r="BK13" s="154"/>
      <c r="BL13" s="154"/>
      <c r="BM13" s="154"/>
      <c r="BN13" s="154"/>
      <c r="BO13" s="154"/>
      <c r="BP13" s="154"/>
      <c r="BQ13" s="154"/>
      <c r="BR13" s="154"/>
      <c r="BS13" s="154"/>
      <c r="BT13" s="154"/>
      <c r="BU13" s="154"/>
      <c r="BV13" s="154"/>
      <c r="BW13" s="154"/>
      <c r="BX13" s="154"/>
      <c r="BY13" s="154"/>
      <c r="BZ13" s="154"/>
      <c r="CA13" s="154"/>
      <c r="CB13" s="154"/>
      <c r="CC13" s="154"/>
      <c r="CD13" s="154"/>
      <c r="CE13" s="154"/>
      <c r="CF13" s="154"/>
      <c r="CG13" s="154"/>
      <c r="CH13" s="154"/>
      <c r="CI13" s="154"/>
      <c r="CJ13" s="154"/>
      <c r="CK13" s="154"/>
      <c r="CL13" s="154"/>
      <c r="CM13" s="154"/>
      <c r="CN13" s="154"/>
      <c r="CO13" s="154"/>
      <c r="CP13" s="154"/>
      <c r="CQ13" s="154"/>
      <c r="CR13" s="154"/>
      <c r="CS13" s="154"/>
      <c r="CT13" s="154"/>
      <c r="CU13" s="154"/>
      <c r="CV13" s="154"/>
      <c r="CW13" s="154"/>
      <c r="CX13" s="154"/>
      <c r="CY13" s="154"/>
      <c r="CZ13" s="154"/>
      <c r="DA13" s="154"/>
      <c r="DB13" s="154"/>
      <c r="DC13" s="154"/>
      <c r="DD13" s="154"/>
      <c r="DE13" s="154"/>
      <c r="DF13" s="154"/>
      <c r="DG13" s="154"/>
      <c r="DH13" s="154"/>
      <c r="DI13" s="154"/>
      <c r="DJ13" s="154"/>
      <c r="DK13" s="154"/>
      <c r="DL13" s="154"/>
      <c r="DM13" s="154"/>
      <c r="DN13" s="154"/>
      <c r="DO13" s="154"/>
      <c r="DP13" s="154"/>
      <c r="DQ13" s="154"/>
      <c r="DR13" s="154"/>
      <c r="DS13" s="154"/>
      <c r="DT13" s="154"/>
      <c r="DU13" s="154"/>
      <c r="DV13" s="154"/>
      <c r="DW13" s="154"/>
      <c r="DX13" s="154"/>
      <c r="DY13" s="154"/>
      <c r="DZ13" s="154"/>
      <c r="EA13" s="154"/>
      <c r="EB13" s="154"/>
      <c r="EC13" s="154"/>
      <c r="ED13" s="154"/>
      <c r="EE13" s="154"/>
      <c r="EF13" s="154"/>
      <c r="EG13" s="154"/>
      <c r="EH13" s="154"/>
      <c r="EI13" s="154"/>
      <c r="EJ13" s="154"/>
      <c r="EK13" s="154"/>
      <c r="EL13" s="154"/>
      <c r="EM13" s="154"/>
      <c r="EN13" s="154"/>
      <c r="EO13" s="154"/>
      <c r="EP13" s="154"/>
      <c r="EQ13" s="154"/>
      <c r="ER13" s="154"/>
      <c r="ES13" s="154"/>
      <c r="ET13" s="154"/>
      <c r="EU13" s="154"/>
      <c r="EV13" s="154"/>
      <c r="EW13" s="154"/>
      <c r="EX13" s="154"/>
      <c r="EY13" s="154"/>
      <c r="EZ13" s="154"/>
      <c r="FA13" s="154"/>
      <c r="FB13" s="154"/>
      <c r="FC13" s="154"/>
      <c r="FD13" s="154"/>
      <c r="FE13" s="154"/>
      <c r="FF13" s="154"/>
      <c r="FG13" s="154"/>
      <c r="FH13" s="154"/>
      <c r="FI13" s="154"/>
      <c r="FJ13" s="154"/>
      <c r="FK13" s="154"/>
      <c r="FL13" s="154"/>
      <c r="FM13" s="154"/>
      <c r="FN13" s="154"/>
      <c r="FO13" s="154"/>
      <c r="FP13" s="154"/>
      <c r="FQ13" s="154"/>
      <c r="FR13" s="154"/>
      <c r="FS13" s="154"/>
      <c r="FT13" s="154"/>
      <c r="FU13" s="154"/>
      <c r="FV13" s="154"/>
      <c r="FW13" s="154"/>
      <c r="FX13" s="154"/>
      <c r="FY13" s="154"/>
      <c r="FZ13" s="154"/>
      <c r="GA13" s="154"/>
      <c r="GB13" s="154"/>
      <c r="GC13" s="154"/>
      <c r="GD13" s="154"/>
      <c r="GE13" s="154"/>
      <c r="GF13" s="154"/>
      <c r="GG13" s="154"/>
      <c r="GH13" s="154"/>
      <c r="GI13" s="154"/>
      <c r="GJ13" s="154"/>
      <c r="GK13" s="154"/>
      <c r="GL13" s="154"/>
      <c r="GM13" s="154"/>
      <c r="GN13" s="154"/>
      <c r="GO13" s="154"/>
      <c r="GP13" s="154"/>
      <c r="GQ13" s="154"/>
      <c r="GR13" s="154"/>
      <c r="GS13" s="154"/>
      <c r="GT13" s="154"/>
      <c r="GU13" s="154"/>
      <c r="GV13" s="154"/>
      <c r="GW13" s="154"/>
      <c r="GX13" s="154"/>
      <c r="GY13" s="154"/>
      <c r="GZ13" s="154"/>
      <c r="HA13" s="154"/>
      <c r="HB13" s="154"/>
      <c r="HC13" s="154"/>
      <c r="HD13" s="154"/>
      <c r="HE13" s="154"/>
      <c r="HF13" s="154"/>
      <c r="HG13" s="154"/>
      <c r="HH13" s="154"/>
      <c r="HI13" s="154"/>
      <c r="HJ13" s="154"/>
      <c r="HK13" s="154"/>
      <c r="HL13" s="154"/>
      <c r="HM13" s="154"/>
      <c r="HN13" s="154"/>
      <c r="HO13" s="154"/>
      <c r="HP13" s="154"/>
      <c r="HQ13" s="154"/>
      <c r="HR13" s="154"/>
      <c r="HS13" s="154"/>
      <c r="HT13" s="154"/>
      <c r="HU13" s="154"/>
      <c r="HV13" s="154"/>
      <c r="HW13" s="154"/>
      <c r="HX13" s="154"/>
      <c r="HY13" s="154"/>
      <c r="HZ13" s="154"/>
      <c r="IA13" s="154"/>
      <c r="IB13" s="154"/>
      <c r="IC13" s="154"/>
      <c r="ID13" s="154"/>
      <c r="IE13" s="154"/>
      <c r="IF13" s="154"/>
      <c r="IG13" s="154"/>
      <c r="IH13" s="154"/>
      <c r="II13" s="154"/>
      <c r="IJ13" s="154"/>
      <c r="IK13" s="154"/>
      <c r="IL13" s="154"/>
      <c r="IM13" s="154"/>
      <c r="IN13" s="154"/>
      <c r="IO13" s="154"/>
      <c r="IP13" s="154"/>
      <c r="IQ13" s="154"/>
      <c r="IR13" s="154"/>
      <c r="IS13" s="154"/>
      <c r="IT13" s="154"/>
      <c r="IU13" s="154"/>
      <c r="IV13" s="154"/>
    </row>
    <row r="14" spans="1:256" s="319" customFormat="1" ht="15">
      <c r="A14" s="154" t="s">
        <v>419</v>
      </c>
      <c r="B14" s="154"/>
      <c r="C14" s="154"/>
      <c r="D14" s="154"/>
      <c r="E14" s="154"/>
      <c r="F14" s="154"/>
      <c r="G14" s="154"/>
      <c r="H14" s="154"/>
      <c r="I14" s="154"/>
      <c r="J14" s="154"/>
      <c r="K14" s="154"/>
      <c r="L14" s="154"/>
      <c r="M14" s="154"/>
      <c r="N14" s="154"/>
      <c r="O14" s="154"/>
      <c r="P14" s="154"/>
      <c r="Q14" s="154"/>
      <c r="R14" s="154"/>
      <c r="S14" s="154"/>
      <c r="T14" s="154"/>
      <c r="U14" s="154"/>
      <c r="V14" s="154"/>
      <c r="W14" s="154"/>
      <c r="X14" s="154"/>
      <c r="Y14" s="154"/>
      <c r="Z14" s="154"/>
      <c r="AA14" s="154"/>
      <c r="AB14" s="154"/>
      <c r="AC14" s="154"/>
      <c r="AD14" s="154"/>
      <c r="AE14" s="154"/>
      <c r="AF14" s="154"/>
      <c r="AG14" s="154"/>
      <c r="AH14" s="154"/>
      <c r="AI14" s="154"/>
      <c r="AJ14" s="154"/>
      <c r="AK14" s="154"/>
      <c r="AL14" s="154"/>
      <c r="AM14" s="154"/>
      <c r="AN14" s="154"/>
      <c r="AO14" s="154"/>
      <c r="AP14" s="154"/>
      <c r="AQ14" s="154"/>
      <c r="AR14" s="154"/>
      <c r="AS14" s="154"/>
      <c r="AT14" s="154"/>
      <c r="AU14" s="154"/>
      <c r="AV14" s="154"/>
      <c r="AW14" s="154"/>
      <c r="AX14" s="154"/>
      <c r="AY14" s="154"/>
      <c r="AZ14" s="154"/>
      <c r="BA14" s="154"/>
      <c r="BB14" s="154"/>
      <c r="BC14" s="154"/>
      <c r="BD14" s="154"/>
      <c r="BE14" s="154"/>
      <c r="BF14" s="154"/>
      <c r="BG14" s="154"/>
      <c r="BH14" s="154"/>
      <c r="BI14" s="154"/>
      <c r="BJ14" s="154"/>
      <c r="BK14" s="154"/>
      <c r="BL14" s="154"/>
      <c r="BM14" s="154"/>
      <c r="BN14" s="154"/>
      <c r="BO14" s="154"/>
      <c r="BP14" s="154"/>
      <c r="BQ14" s="154"/>
      <c r="BR14" s="154"/>
      <c r="BS14" s="154"/>
      <c r="BT14" s="154"/>
      <c r="BU14" s="154"/>
      <c r="BV14" s="154"/>
      <c r="BW14" s="154"/>
      <c r="BX14" s="154"/>
      <c r="BY14" s="154"/>
      <c r="BZ14" s="154"/>
      <c r="CA14" s="154"/>
      <c r="CB14" s="154"/>
      <c r="CC14" s="154"/>
      <c r="CD14" s="154"/>
      <c r="CE14" s="154"/>
      <c r="CF14" s="154"/>
      <c r="CG14" s="154"/>
      <c r="CH14" s="154"/>
      <c r="CI14" s="154"/>
      <c r="CJ14" s="154"/>
      <c r="CK14" s="154"/>
      <c r="CL14" s="154"/>
      <c r="CM14" s="154"/>
      <c r="CN14" s="154"/>
      <c r="CO14" s="154"/>
      <c r="CP14" s="154"/>
      <c r="CQ14" s="154"/>
      <c r="CR14" s="154"/>
      <c r="CS14" s="154"/>
      <c r="CT14" s="154"/>
      <c r="CU14" s="154"/>
      <c r="CV14" s="154"/>
      <c r="CW14" s="154"/>
      <c r="CX14" s="154"/>
      <c r="CY14" s="154"/>
      <c r="CZ14" s="154"/>
      <c r="DA14" s="154"/>
      <c r="DB14" s="154"/>
      <c r="DC14" s="154"/>
      <c r="DD14" s="154"/>
      <c r="DE14" s="154"/>
      <c r="DF14" s="154"/>
      <c r="DG14" s="154"/>
      <c r="DH14" s="154"/>
      <c r="DI14" s="154"/>
      <c r="DJ14" s="154"/>
      <c r="DK14" s="154"/>
      <c r="DL14" s="154"/>
      <c r="DM14" s="154"/>
      <c r="DN14" s="154"/>
      <c r="DO14" s="154"/>
      <c r="DP14" s="154"/>
      <c r="DQ14" s="154"/>
      <c r="DR14" s="154"/>
      <c r="DS14" s="154"/>
      <c r="DT14" s="154"/>
      <c r="DU14" s="154"/>
      <c r="DV14" s="154"/>
      <c r="DW14" s="154"/>
      <c r="DX14" s="154"/>
      <c r="DY14" s="154"/>
      <c r="DZ14" s="154"/>
      <c r="EA14" s="154"/>
      <c r="EB14" s="154"/>
      <c r="EC14" s="154"/>
      <c r="ED14" s="154"/>
      <c r="EE14" s="154"/>
      <c r="EF14" s="154"/>
      <c r="EG14" s="154"/>
      <c r="EH14" s="154"/>
      <c r="EI14" s="154"/>
      <c r="EJ14" s="154"/>
      <c r="EK14" s="154"/>
      <c r="EL14" s="154"/>
      <c r="EM14" s="154"/>
      <c r="EN14" s="154"/>
      <c r="EO14" s="154"/>
      <c r="EP14" s="154"/>
      <c r="EQ14" s="154"/>
      <c r="ER14" s="154"/>
      <c r="ES14" s="154"/>
      <c r="ET14" s="154"/>
      <c r="EU14" s="154"/>
      <c r="EV14" s="154"/>
      <c r="EW14" s="154"/>
      <c r="EX14" s="154"/>
      <c r="EY14" s="154"/>
      <c r="EZ14" s="154"/>
      <c r="FA14" s="154"/>
      <c r="FB14" s="154"/>
      <c r="FC14" s="154"/>
      <c r="FD14" s="154"/>
      <c r="FE14" s="154"/>
      <c r="FF14" s="154"/>
      <c r="FG14" s="154"/>
      <c r="FH14" s="154"/>
      <c r="FI14" s="154"/>
      <c r="FJ14" s="154"/>
      <c r="FK14" s="154"/>
      <c r="FL14" s="154"/>
      <c r="FM14" s="154"/>
      <c r="FN14" s="154"/>
      <c r="FO14" s="154"/>
      <c r="FP14" s="154"/>
      <c r="FQ14" s="154"/>
      <c r="FR14" s="154"/>
      <c r="FS14" s="154"/>
      <c r="FT14" s="154"/>
      <c r="FU14" s="154"/>
      <c r="FV14" s="154"/>
      <c r="FW14" s="154"/>
      <c r="FX14" s="154"/>
      <c r="FY14" s="154"/>
      <c r="FZ14" s="154"/>
      <c r="GA14" s="154"/>
      <c r="GB14" s="154"/>
      <c r="GC14" s="154"/>
      <c r="GD14" s="154"/>
      <c r="GE14" s="154"/>
      <c r="GF14" s="154"/>
      <c r="GG14" s="154"/>
      <c r="GH14" s="154"/>
      <c r="GI14" s="154"/>
      <c r="GJ14" s="154"/>
      <c r="GK14" s="154"/>
      <c r="GL14" s="154"/>
      <c r="GM14" s="154"/>
      <c r="GN14" s="154"/>
      <c r="GO14" s="154"/>
      <c r="GP14" s="154"/>
      <c r="GQ14" s="154"/>
      <c r="GR14" s="154"/>
      <c r="GS14" s="154"/>
      <c r="GT14" s="154"/>
      <c r="GU14" s="154"/>
      <c r="GV14" s="154"/>
      <c r="GW14" s="154"/>
      <c r="GX14" s="154"/>
      <c r="GY14" s="154"/>
      <c r="GZ14" s="154"/>
      <c r="HA14" s="154"/>
      <c r="HB14" s="154"/>
      <c r="HC14" s="154"/>
      <c r="HD14" s="154"/>
      <c r="HE14" s="154"/>
      <c r="HF14" s="154"/>
      <c r="HG14" s="154"/>
      <c r="HH14" s="154"/>
      <c r="HI14" s="154"/>
      <c r="HJ14" s="154"/>
      <c r="HK14" s="154"/>
      <c r="HL14" s="154"/>
      <c r="HM14" s="154"/>
      <c r="HN14" s="154"/>
      <c r="HO14" s="154"/>
      <c r="HP14" s="154"/>
      <c r="HQ14" s="154"/>
      <c r="HR14" s="154"/>
      <c r="HS14" s="154"/>
      <c r="HT14" s="154"/>
      <c r="HU14" s="154"/>
      <c r="HV14" s="154"/>
      <c r="HW14" s="154"/>
      <c r="HX14" s="154"/>
      <c r="HY14" s="154"/>
      <c r="HZ14" s="154"/>
      <c r="IA14" s="154"/>
      <c r="IB14" s="154"/>
      <c r="IC14" s="154"/>
      <c r="ID14" s="154"/>
      <c r="IE14" s="154"/>
      <c r="IF14" s="154"/>
      <c r="IG14" s="154"/>
      <c r="IH14" s="154"/>
      <c r="II14" s="154"/>
      <c r="IJ14" s="154"/>
      <c r="IK14" s="154"/>
      <c r="IL14" s="154"/>
      <c r="IM14" s="154"/>
      <c r="IN14" s="154"/>
      <c r="IO14" s="154"/>
      <c r="IP14" s="154"/>
      <c r="IQ14" s="154"/>
      <c r="IR14" s="154"/>
      <c r="IS14" s="154"/>
      <c r="IT14" s="154"/>
      <c r="IU14" s="154"/>
      <c r="IV14" s="154"/>
    </row>
    <row r="15" spans="1:256" s="319" customFormat="1" ht="15">
      <c r="A15" s="154" t="s">
        <v>420</v>
      </c>
      <c r="B15" s="154"/>
      <c r="C15" s="154"/>
      <c r="D15" s="154"/>
      <c r="E15" s="154"/>
      <c r="F15" s="154"/>
      <c r="G15" s="154"/>
      <c r="H15" s="154"/>
      <c r="I15" s="154"/>
      <c r="J15" s="154"/>
      <c r="K15" s="154"/>
      <c r="L15" s="154"/>
      <c r="M15" s="154"/>
      <c r="N15" s="154"/>
      <c r="O15" s="154"/>
      <c r="P15" s="154"/>
      <c r="Q15" s="154"/>
      <c r="R15" s="154"/>
      <c r="S15" s="154"/>
      <c r="T15" s="154"/>
      <c r="U15" s="154"/>
      <c r="V15" s="154"/>
      <c r="W15" s="154"/>
      <c r="X15" s="154"/>
      <c r="Y15" s="154"/>
      <c r="Z15" s="154"/>
      <c r="AA15" s="154"/>
      <c r="AB15" s="154"/>
      <c r="AC15" s="154"/>
      <c r="AD15" s="154"/>
      <c r="AE15" s="154"/>
      <c r="AF15" s="154"/>
      <c r="AG15" s="154"/>
      <c r="AH15" s="154"/>
      <c r="AI15" s="154"/>
      <c r="AJ15" s="154"/>
      <c r="AK15" s="154"/>
      <c r="AL15" s="154"/>
      <c r="AM15" s="154"/>
      <c r="AN15" s="154"/>
      <c r="AO15" s="154"/>
      <c r="AP15" s="154"/>
      <c r="AQ15" s="154"/>
      <c r="AR15" s="154"/>
      <c r="AS15" s="154"/>
      <c r="AT15" s="154"/>
      <c r="AU15" s="154"/>
      <c r="AV15" s="154"/>
      <c r="AW15" s="154"/>
      <c r="AX15" s="154"/>
      <c r="AY15" s="154"/>
      <c r="AZ15" s="154"/>
      <c r="BA15" s="154"/>
      <c r="BB15" s="154"/>
      <c r="BC15" s="154"/>
      <c r="BD15" s="154"/>
      <c r="BE15" s="154"/>
      <c r="BF15" s="154"/>
      <c r="BG15" s="154"/>
      <c r="BH15" s="154"/>
      <c r="BI15" s="154"/>
      <c r="BJ15" s="154"/>
      <c r="BK15" s="154"/>
      <c r="BL15" s="154"/>
      <c r="BM15" s="154"/>
      <c r="BN15" s="154"/>
      <c r="BO15" s="154"/>
      <c r="BP15" s="154"/>
      <c r="BQ15" s="154"/>
      <c r="BR15" s="154"/>
      <c r="BS15" s="154"/>
      <c r="BT15" s="154"/>
      <c r="BU15" s="154"/>
      <c r="BV15" s="154"/>
      <c r="BW15" s="154"/>
      <c r="BX15" s="154"/>
      <c r="BY15" s="154"/>
      <c r="BZ15" s="154"/>
      <c r="CA15" s="154"/>
      <c r="CB15" s="154"/>
      <c r="CC15" s="154"/>
      <c r="CD15" s="154"/>
      <c r="CE15" s="154"/>
      <c r="CF15" s="154"/>
      <c r="CG15" s="154"/>
      <c r="CH15" s="154"/>
      <c r="CI15" s="154"/>
      <c r="CJ15" s="154"/>
      <c r="CK15" s="154"/>
      <c r="CL15" s="154"/>
      <c r="CM15" s="154"/>
      <c r="CN15" s="154"/>
      <c r="CO15" s="154"/>
      <c r="CP15" s="154"/>
      <c r="CQ15" s="154"/>
      <c r="CR15" s="154"/>
      <c r="CS15" s="154"/>
      <c r="CT15" s="154"/>
      <c r="CU15" s="154"/>
      <c r="CV15" s="154"/>
      <c r="CW15" s="154"/>
      <c r="CX15" s="154"/>
      <c r="CY15" s="154"/>
      <c r="CZ15" s="154"/>
      <c r="DA15" s="154"/>
      <c r="DB15" s="154"/>
      <c r="DC15" s="154"/>
      <c r="DD15" s="154"/>
      <c r="DE15" s="154"/>
      <c r="DF15" s="154"/>
      <c r="DG15" s="154"/>
      <c r="DH15" s="154"/>
      <c r="DI15" s="154"/>
      <c r="DJ15" s="154"/>
      <c r="DK15" s="154"/>
      <c r="DL15" s="154"/>
      <c r="DM15" s="154"/>
      <c r="DN15" s="154"/>
      <c r="DO15" s="154"/>
      <c r="DP15" s="154"/>
      <c r="DQ15" s="154"/>
      <c r="DR15" s="154"/>
      <c r="DS15" s="154"/>
      <c r="DT15" s="154"/>
      <c r="DU15" s="154"/>
      <c r="DV15" s="154"/>
      <c r="DW15" s="154"/>
      <c r="DX15" s="154"/>
      <c r="DY15" s="154"/>
      <c r="DZ15" s="154"/>
      <c r="EA15" s="154"/>
      <c r="EB15" s="154"/>
      <c r="EC15" s="154"/>
      <c r="ED15" s="154"/>
      <c r="EE15" s="154"/>
      <c r="EF15" s="154"/>
      <c r="EG15" s="154"/>
      <c r="EH15" s="154"/>
      <c r="EI15" s="154"/>
      <c r="EJ15" s="154"/>
      <c r="EK15" s="154"/>
      <c r="EL15" s="154"/>
      <c r="EM15" s="154"/>
      <c r="EN15" s="154"/>
      <c r="EO15" s="154"/>
      <c r="EP15" s="154"/>
      <c r="EQ15" s="154"/>
      <c r="ER15" s="154"/>
      <c r="ES15" s="154"/>
      <c r="ET15" s="154"/>
      <c r="EU15" s="154"/>
      <c r="EV15" s="154"/>
      <c r="EW15" s="154"/>
      <c r="EX15" s="154"/>
      <c r="EY15" s="154"/>
      <c r="EZ15" s="154"/>
      <c r="FA15" s="154"/>
      <c r="FB15" s="154"/>
      <c r="FC15" s="154"/>
      <c r="FD15" s="154"/>
      <c r="FE15" s="154"/>
      <c r="FF15" s="154"/>
      <c r="FG15" s="154"/>
      <c r="FH15" s="154"/>
      <c r="FI15" s="154"/>
      <c r="FJ15" s="154"/>
      <c r="FK15" s="154"/>
      <c r="FL15" s="154"/>
      <c r="FM15" s="154"/>
      <c r="FN15" s="154"/>
      <c r="FO15" s="154"/>
      <c r="FP15" s="154"/>
      <c r="FQ15" s="154"/>
      <c r="FR15" s="154"/>
      <c r="FS15" s="154"/>
      <c r="FT15" s="154"/>
      <c r="FU15" s="154"/>
      <c r="FV15" s="154"/>
      <c r="FW15" s="154"/>
      <c r="FX15" s="154"/>
      <c r="FY15" s="154"/>
      <c r="FZ15" s="154"/>
      <c r="GA15" s="154"/>
      <c r="GB15" s="154"/>
      <c r="GC15" s="154"/>
      <c r="GD15" s="154"/>
      <c r="GE15" s="154"/>
      <c r="GF15" s="154"/>
      <c r="GG15" s="154"/>
      <c r="GH15" s="154"/>
      <c r="GI15" s="154"/>
      <c r="GJ15" s="154"/>
      <c r="GK15" s="154"/>
      <c r="GL15" s="154"/>
      <c r="GM15" s="154"/>
      <c r="GN15" s="154"/>
      <c r="GO15" s="154"/>
      <c r="GP15" s="154"/>
      <c r="GQ15" s="154"/>
      <c r="GR15" s="154"/>
      <c r="GS15" s="154"/>
      <c r="GT15" s="154"/>
      <c r="GU15" s="154"/>
      <c r="GV15" s="154"/>
      <c r="GW15" s="154"/>
      <c r="GX15" s="154"/>
      <c r="GY15" s="154"/>
      <c r="GZ15" s="154"/>
      <c r="HA15" s="154"/>
      <c r="HB15" s="154"/>
      <c r="HC15" s="154"/>
      <c r="HD15" s="154"/>
      <c r="HE15" s="154"/>
      <c r="HF15" s="154"/>
      <c r="HG15" s="154"/>
      <c r="HH15" s="154"/>
      <c r="HI15" s="154"/>
      <c r="HJ15" s="154"/>
      <c r="HK15" s="154"/>
      <c r="HL15" s="154"/>
      <c r="HM15" s="154"/>
      <c r="HN15" s="154"/>
      <c r="HO15" s="154"/>
      <c r="HP15" s="154"/>
      <c r="HQ15" s="154"/>
      <c r="HR15" s="154"/>
      <c r="HS15" s="154"/>
      <c r="HT15" s="154"/>
      <c r="HU15" s="154"/>
      <c r="HV15" s="154"/>
      <c r="HW15" s="154"/>
      <c r="HX15" s="154"/>
      <c r="HY15" s="154"/>
      <c r="HZ15" s="154"/>
      <c r="IA15" s="154"/>
      <c r="IB15" s="154"/>
      <c r="IC15" s="154"/>
      <c r="ID15" s="154"/>
      <c r="IE15" s="154"/>
      <c r="IF15" s="154"/>
      <c r="IG15" s="154"/>
      <c r="IH15" s="154"/>
      <c r="II15" s="154"/>
      <c r="IJ15" s="154"/>
      <c r="IK15" s="154"/>
      <c r="IL15" s="154"/>
      <c r="IM15" s="154"/>
      <c r="IN15" s="154"/>
      <c r="IO15" s="154"/>
      <c r="IP15" s="154"/>
      <c r="IQ15" s="154"/>
      <c r="IR15" s="154"/>
      <c r="IS15" s="154"/>
      <c r="IT15" s="154"/>
      <c r="IU15" s="154"/>
      <c r="IV15" s="154"/>
    </row>
    <row r="16" spans="1:6" ht="15">
      <c r="A16" s="154" t="s">
        <v>421</v>
      </c>
      <c r="B16" s="154"/>
      <c r="C16" s="154"/>
      <c r="D16" s="154"/>
      <c r="E16" s="154"/>
      <c r="F16" s="154"/>
    </row>
    <row r="17" spans="1:6" ht="15">
      <c r="A17" s="154" t="s">
        <v>424</v>
      </c>
      <c r="B17" s="154"/>
      <c r="C17" s="154"/>
      <c r="D17" s="154"/>
      <c r="E17" s="154"/>
      <c r="F17" s="154"/>
    </row>
    <row r="18" spans="1:6" ht="15.75" thickBot="1">
      <c r="A18" s="55" t="s">
        <v>3</v>
      </c>
      <c r="B18" s="57">
        <f>SUM($B$9:B17)</f>
        <v>0</v>
      </c>
      <c r="C18" s="57">
        <f>SUM($C$9:C17)</f>
        <v>0</v>
      </c>
      <c r="D18" s="154"/>
      <c r="E18" s="154"/>
      <c r="F18" s="154"/>
    </row>
    <row r="19" spans="1:6" ht="15.75" thickTop="1">
      <c r="A19" s="154"/>
      <c r="B19" s="154"/>
      <c r="C19" s="154"/>
      <c r="D19" s="154"/>
      <c r="E19" s="154"/>
      <c r="F19" s="154"/>
    </row>
    <row r="20" spans="1:6" ht="15">
      <c r="A20" s="154"/>
      <c r="B20" s="154"/>
      <c r="C20" s="154"/>
      <c r="D20" s="154"/>
      <c r="E20" s="154"/>
      <c r="F20" s="154"/>
    </row>
    <row r="21" spans="1:6" ht="15">
      <c r="A21" s="154"/>
      <c r="B21" s="154"/>
      <c r="C21" s="154"/>
      <c r="D21" s="154"/>
      <c r="E21" s="154"/>
      <c r="F21" s="154"/>
    </row>
    <row r="22" spans="1:6" ht="15">
      <c r="A22" s="154"/>
      <c r="B22" s="154"/>
      <c r="C22" s="154"/>
      <c r="D22" s="154"/>
      <c r="E22" s="154"/>
      <c r="F22" s="154"/>
    </row>
    <row r="23" spans="1:6" ht="15">
      <c r="A23" s="154"/>
      <c r="B23" s="154"/>
      <c r="C23" s="154"/>
      <c r="D23" s="154"/>
      <c r="E23" s="154"/>
      <c r="F23" s="154"/>
    </row>
    <row r="24" spans="1:6" ht="15">
      <c r="A24" s="154"/>
      <c r="B24" s="154"/>
      <c r="C24" s="154"/>
      <c r="D24" s="154"/>
      <c r="E24" s="154"/>
      <c r="F24" s="154"/>
    </row>
    <row r="25" spans="1:6" ht="15">
      <c r="A25" s="154"/>
      <c r="B25" s="154"/>
      <c r="C25" s="154"/>
      <c r="D25" s="154"/>
      <c r="E25" s="154"/>
      <c r="F25" s="154"/>
    </row>
    <row r="26" spans="1:6" ht="15">
      <c r="A26" s="154"/>
      <c r="B26" s="154"/>
      <c r="C26" s="154"/>
      <c r="D26" s="154"/>
      <c r="E26" s="154"/>
      <c r="F26" s="154"/>
    </row>
    <row r="27" spans="1:6" ht="15">
      <c r="A27" s="154"/>
      <c r="B27" s="154"/>
      <c r="C27" s="154"/>
      <c r="D27" s="154"/>
      <c r="E27" s="154"/>
      <c r="F27" s="154"/>
    </row>
    <row r="28" spans="1:6" ht="15">
      <c r="A28" s="154"/>
      <c r="B28" s="154"/>
      <c r="C28" s="154"/>
      <c r="D28" s="154"/>
      <c r="E28" s="154"/>
      <c r="F28" s="154"/>
    </row>
    <row r="29" spans="1:6" ht="15">
      <c r="A29" s="154"/>
      <c r="B29" s="154"/>
      <c r="C29" s="154"/>
      <c r="D29" s="154"/>
      <c r="E29" s="154"/>
      <c r="F29" s="154"/>
    </row>
    <row r="30" spans="1:6" ht="15">
      <c r="A30" s="154"/>
      <c r="B30" s="154"/>
      <c r="C30" s="154"/>
      <c r="D30" s="154"/>
      <c r="E30" s="154"/>
      <c r="F30" s="154"/>
    </row>
    <row r="31" spans="1:6" ht="15">
      <c r="A31" s="154"/>
      <c r="B31" s="154"/>
      <c r="C31" s="154"/>
      <c r="D31" s="154"/>
      <c r="E31" s="154"/>
      <c r="F31" s="154"/>
    </row>
    <row r="32" spans="1:6" ht="15">
      <c r="A32" s="154"/>
      <c r="B32" s="154"/>
      <c r="C32" s="154"/>
      <c r="D32" s="154"/>
      <c r="E32" s="154"/>
      <c r="F32" s="154"/>
    </row>
    <row r="33" spans="1:6" ht="15">
      <c r="A33" s="154"/>
      <c r="B33" s="154"/>
      <c r="C33" s="154"/>
      <c r="D33" s="154"/>
      <c r="E33" s="154"/>
      <c r="F33" s="154"/>
    </row>
    <row r="34" spans="1:6" ht="15">
      <c r="A34" s="154"/>
      <c r="B34" s="154"/>
      <c r="C34" s="154"/>
      <c r="D34" s="154"/>
      <c r="E34" s="154"/>
      <c r="F34" s="154"/>
    </row>
    <row r="35" spans="1:6" ht="15">
      <c r="A35" s="154"/>
      <c r="B35" s="154"/>
      <c r="C35" s="154"/>
      <c r="D35" s="154"/>
      <c r="E35" s="154"/>
      <c r="F35" s="154"/>
    </row>
    <row r="36" spans="1:6" ht="15">
      <c r="A36" s="154"/>
      <c r="B36" s="154"/>
      <c r="C36" s="154"/>
      <c r="D36" s="154"/>
      <c r="E36" s="154"/>
      <c r="F36" s="154"/>
    </row>
    <row r="37" spans="1:6" ht="15">
      <c r="A37" s="154"/>
      <c r="B37" s="154"/>
      <c r="C37" s="154"/>
      <c r="D37" s="154"/>
      <c r="E37" s="154"/>
      <c r="F37" s="154"/>
    </row>
    <row r="38" spans="1:6" ht="15">
      <c r="A38" s="154"/>
      <c r="B38" s="154"/>
      <c r="C38" s="154"/>
      <c r="D38" s="154"/>
      <c r="E38" s="154"/>
      <c r="F38" s="154"/>
    </row>
    <row r="39" spans="1:6" ht="15">
      <c r="A39" s="154"/>
      <c r="B39" s="154"/>
      <c r="C39" s="154"/>
      <c r="D39" s="154"/>
      <c r="E39" s="154"/>
      <c r="F39" s="154"/>
    </row>
    <row r="40" spans="1:6" ht="15">
      <c r="A40" s="154"/>
      <c r="B40" s="154"/>
      <c r="C40" s="154"/>
      <c r="D40" s="154"/>
      <c r="E40" s="154"/>
      <c r="F40" s="154"/>
    </row>
    <row r="41" spans="1:6" ht="15">
      <c r="A41" s="154"/>
      <c r="B41" s="154"/>
      <c r="C41" s="154"/>
      <c r="D41" s="154"/>
      <c r="E41" s="154"/>
      <c r="F41" s="154"/>
    </row>
    <row r="42" spans="1:6" ht="15">
      <c r="A42" s="154"/>
      <c r="B42" s="154"/>
      <c r="C42" s="154"/>
      <c r="D42" s="154"/>
      <c r="E42" s="154"/>
      <c r="F42" s="154"/>
    </row>
    <row r="43" spans="1:6" ht="15">
      <c r="A43" s="154"/>
      <c r="B43" s="154"/>
      <c r="C43" s="154"/>
      <c r="D43" s="154"/>
      <c r="E43" s="154"/>
      <c r="F43" s="154"/>
    </row>
    <row r="44" spans="1:6" ht="15">
      <c r="A44" s="154"/>
      <c r="B44" s="154"/>
      <c r="C44" s="154"/>
      <c r="D44" s="154"/>
      <c r="E44" s="154"/>
      <c r="F44" s="154"/>
    </row>
    <row r="45" spans="1:6" ht="15">
      <c r="A45" s="154"/>
      <c r="B45" s="154"/>
      <c r="C45" s="154"/>
      <c r="D45" s="154"/>
      <c r="E45" s="154"/>
      <c r="F45" s="154"/>
    </row>
    <row r="46" spans="1:6" ht="15">
      <c r="A46" s="154"/>
      <c r="B46" s="154"/>
      <c r="C46" s="154"/>
      <c r="D46" s="154"/>
      <c r="E46" s="154"/>
      <c r="F46" s="154"/>
    </row>
    <row r="47" spans="1:6" ht="15">
      <c r="A47" s="154"/>
      <c r="B47" s="154"/>
      <c r="C47" s="154"/>
      <c r="D47" s="154"/>
      <c r="E47" s="154"/>
      <c r="F47" s="154"/>
    </row>
    <row r="48" spans="1:6" ht="15">
      <c r="A48" s="154"/>
      <c r="B48" s="154"/>
      <c r="C48" s="154"/>
      <c r="D48" s="154"/>
      <c r="E48" s="154"/>
      <c r="F48" s="154"/>
    </row>
    <row r="49" spans="1:6" ht="15">
      <c r="A49" s="154"/>
      <c r="B49" s="154"/>
      <c r="C49" s="154"/>
      <c r="D49" s="154"/>
      <c r="E49" s="154"/>
      <c r="F49" s="154"/>
    </row>
    <row r="50" spans="1:6" ht="15">
      <c r="A50" s="154"/>
      <c r="B50" s="154"/>
      <c r="C50" s="154"/>
      <c r="D50" s="154"/>
      <c r="E50" s="154"/>
      <c r="F50" s="154"/>
    </row>
    <row r="51" spans="1:6" ht="15">
      <c r="A51" s="154"/>
      <c r="B51" s="154"/>
      <c r="C51" s="154"/>
      <c r="D51" s="154"/>
      <c r="E51" s="154"/>
      <c r="F51" s="154"/>
    </row>
    <row r="52" spans="1:6" ht="15">
      <c r="A52" s="154"/>
      <c r="B52" s="154"/>
      <c r="C52" s="154"/>
      <c r="D52" s="154"/>
      <c r="E52" s="154"/>
      <c r="F52" s="154"/>
    </row>
    <row r="53" spans="1:6" ht="15">
      <c r="A53" s="154"/>
      <c r="B53" s="154"/>
      <c r="C53" s="154"/>
      <c r="D53" s="154"/>
      <c r="E53" s="154"/>
      <c r="F53" s="154"/>
    </row>
    <row r="54" spans="1:6" ht="15">
      <c r="A54" s="154"/>
      <c r="B54" s="154"/>
      <c r="C54" s="154"/>
      <c r="D54" s="154"/>
      <c r="E54" s="154"/>
      <c r="F54" s="154"/>
    </row>
    <row r="55" spans="1:6" ht="15">
      <c r="A55" s="154"/>
      <c r="B55" s="154"/>
      <c r="C55" s="154"/>
      <c r="D55" s="154"/>
      <c r="E55" s="154"/>
      <c r="F55" s="154"/>
    </row>
    <row r="56" spans="1:6" ht="15">
      <c r="A56" s="154"/>
      <c r="B56" s="154"/>
      <c r="C56" s="154"/>
      <c r="D56" s="154"/>
      <c r="E56" s="154"/>
      <c r="F56" s="154"/>
    </row>
    <row r="57" spans="1:6" ht="15">
      <c r="A57" s="154"/>
      <c r="B57" s="154"/>
      <c r="C57" s="154"/>
      <c r="D57" s="154"/>
      <c r="E57" s="154"/>
      <c r="F57" s="154"/>
    </row>
    <row r="58" spans="1:6" ht="15">
      <c r="A58" s="154"/>
      <c r="B58" s="154"/>
      <c r="C58" s="154"/>
      <c r="D58" s="154"/>
      <c r="E58" s="154"/>
      <c r="F58" s="154"/>
    </row>
    <row r="59" spans="1:6" ht="15">
      <c r="A59" s="154"/>
      <c r="B59" s="154"/>
      <c r="C59" s="154"/>
      <c r="D59" s="154"/>
      <c r="E59" s="154"/>
      <c r="F59" s="154"/>
    </row>
    <row r="60" spans="1:6" ht="15">
      <c r="A60" s="154"/>
      <c r="B60" s="154"/>
      <c r="C60" s="154"/>
      <c r="D60" s="154"/>
      <c r="E60" s="154"/>
      <c r="F60" s="154"/>
    </row>
    <row r="61" spans="1:6" ht="15">
      <c r="A61" s="154"/>
      <c r="B61" s="154"/>
      <c r="C61" s="154"/>
      <c r="D61" s="154"/>
      <c r="E61" s="154"/>
      <c r="F61" s="154"/>
    </row>
    <row r="62" spans="1:6" ht="15">
      <c r="A62" s="154"/>
      <c r="B62" s="154"/>
      <c r="C62" s="154"/>
      <c r="D62" s="154"/>
      <c r="E62" s="154"/>
      <c r="F62" s="154"/>
    </row>
    <row r="63" spans="1:6" ht="15">
      <c r="A63" s="154"/>
      <c r="B63" s="154"/>
      <c r="C63" s="154"/>
      <c r="D63" s="154"/>
      <c r="E63" s="154"/>
      <c r="F63" s="154"/>
    </row>
    <row r="64" spans="1:6" ht="15">
      <c r="A64" s="154"/>
      <c r="B64" s="154"/>
      <c r="C64" s="154"/>
      <c r="D64" s="154"/>
      <c r="E64" s="154"/>
      <c r="F64" s="154"/>
    </row>
    <row r="65" spans="1:6" ht="15">
      <c r="A65" s="154"/>
      <c r="B65" s="154"/>
      <c r="C65" s="154"/>
      <c r="D65" s="154"/>
      <c r="E65" s="154"/>
      <c r="F65" s="154"/>
    </row>
    <row r="66" spans="1:6" ht="15">
      <c r="A66" s="154"/>
      <c r="B66" s="154"/>
      <c r="C66" s="154"/>
      <c r="D66" s="154"/>
      <c r="E66" s="154"/>
      <c r="F66" s="154"/>
    </row>
    <row r="67" spans="1:6" ht="15">
      <c r="A67" s="154"/>
      <c r="B67" s="154"/>
      <c r="C67" s="154"/>
      <c r="D67" s="154"/>
      <c r="E67" s="154"/>
      <c r="F67" s="154"/>
    </row>
    <row r="68" spans="1:6" ht="15">
      <c r="A68" s="154"/>
      <c r="B68" s="154"/>
      <c r="C68" s="154"/>
      <c r="D68" s="154"/>
      <c r="E68" s="154"/>
      <c r="F68" s="154"/>
    </row>
    <row r="69" spans="1:6" ht="15">
      <c r="A69" s="154"/>
      <c r="B69" s="154"/>
      <c r="C69" s="154"/>
      <c r="D69" s="154"/>
      <c r="E69" s="154"/>
      <c r="F69" s="154"/>
    </row>
    <row r="70" spans="1:6" ht="15">
      <c r="A70" s="154"/>
      <c r="B70" s="154"/>
      <c r="C70" s="154"/>
      <c r="D70" s="154"/>
      <c r="E70" s="154"/>
      <c r="F70" s="154"/>
    </row>
  </sheetData>
  <sheetProtection/>
  <mergeCells count="2">
    <mergeCell ref="A4:C4"/>
    <mergeCell ref="B7:C7"/>
  </mergeCells>
  <hyperlinks>
    <hyperlink ref="D1" location="BG!A1" display="BG"/>
  </hyperlink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codeName="Hoja10"/>
  <dimension ref="A1:H58"/>
  <sheetViews>
    <sheetView showGridLines="0" zoomScalePageLayoutView="0" workbookViewId="0" topLeftCell="B5">
      <selection activeCell="F26" sqref="F26"/>
    </sheetView>
  </sheetViews>
  <sheetFormatPr defaultColWidth="11.421875" defaultRowHeight="15"/>
  <cols>
    <col min="1" max="1" width="40.28125" style="11" customWidth="1"/>
    <col min="2" max="2" width="27.7109375" style="11" customWidth="1"/>
    <col min="3" max="3" width="25.421875" style="11" customWidth="1"/>
    <col min="4" max="4" width="19.57421875" style="11" customWidth="1"/>
    <col min="5" max="5" width="4.8515625" style="11" customWidth="1"/>
    <col min="6" max="6" width="61.57421875" style="11" customWidth="1"/>
    <col min="7" max="7" width="13.8515625" style="11" bestFit="1" customWidth="1"/>
    <col min="8" max="8" width="27.8515625" style="11" bestFit="1" customWidth="1"/>
    <col min="9" max="16384" width="11.421875" style="11" customWidth="1"/>
  </cols>
  <sheetData>
    <row r="1" spans="1:6" ht="15">
      <c r="A1" s="13" t="str">
        <f>Indice!C1</f>
        <v>IMPORT CENTER S.A.</v>
      </c>
      <c r="F1" s="181" t="s">
        <v>129</v>
      </c>
    </row>
    <row r="2" ht="12.75">
      <c r="C2" s="143"/>
    </row>
    <row r="3" spans="1:5" ht="12.75">
      <c r="A3" s="369" t="s">
        <v>272</v>
      </c>
      <c r="B3" s="369"/>
      <c r="C3" s="420"/>
      <c r="D3" s="420"/>
      <c r="E3" s="420"/>
    </row>
    <row r="4" spans="1:5" ht="12.75">
      <c r="A4" s="2" t="s">
        <v>862</v>
      </c>
      <c r="B4" s="2"/>
      <c r="E4" s="143"/>
    </row>
    <row r="5" spans="1:5" ht="12.75">
      <c r="A5" s="153"/>
      <c r="B5" s="153"/>
      <c r="C5" s="740" t="s">
        <v>227</v>
      </c>
      <c r="D5" s="741"/>
      <c r="E5" s="143"/>
    </row>
    <row r="6" spans="1:8" ht="12.75">
      <c r="A6" s="16"/>
      <c r="B6" s="16"/>
      <c r="C6" s="421">
        <f>_xlfn.IFERROR(IF(Indice!B6="","2XX2",YEAR(Indice!B6)),"2XX2")</f>
        <v>2021</v>
      </c>
      <c r="D6" s="421">
        <f>_xlfn.IFERROR(YEAR(Indice!B6-365),"2XX1")</f>
        <v>2020</v>
      </c>
      <c r="E6" s="143"/>
      <c r="F6" s="404" t="s">
        <v>855</v>
      </c>
      <c r="G6" s="405">
        <v>44561</v>
      </c>
      <c r="H6" s="419"/>
    </row>
    <row r="7" spans="1:8" ht="12.75">
      <c r="A7" s="272" t="s">
        <v>278</v>
      </c>
      <c r="B7" s="272" t="s">
        <v>425</v>
      </c>
      <c r="C7" s="536">
        <v>5216808</v>
      </c>
      <c r="D7" s="536">
        <v>5102344</v>
      </c>
      <c r="E7" s="143"/>
      <c r="F7" s="403" t="s">
        <v>273</v>
      </c>
      <c r="G7" s="138" t="s">
        <v>857</v>
      </c>
      <c r="H7" s="138" t="s">
        <v>861</v>
      </c>
    </row>
    <row r="8" spans="1:8" ht="12.75">
      <c r="A8" s="272" t="s">
        <v>278</v>
      </c>
      <c r="B8" s="272" t="s">
        <v>426</v>
      </c>
      <c r="C8" s="536">
        <v>892827</v>
      </c>
      <c r="D8" s="536">
        <v>1034647</v>
      </c>
      <c r="E8" s="143"/>
      <c r="F8" s="10" t="s">
        <v>8</v>
      </c>
      <c r="G8" s="409">
        <v>7279249</v>
      </c>
      <c r="H8" s="416">
        <v>0</v>
      </c>
    </row>
    <row r="9" spans="1:8" ht="12.75">
      <c r="A9" s="272" t="s">
        <v>278</v>
      </c>
      <c r="B9" s="272" t="s">
        <v>427</v>
      </c>
      <c r="C9" s="536">
        <v>0</v>
      </c>
      <c r="D9" s="536">
        <v>0</v>
      </c>
      <c r="E9" s="143"/>
      <c r="F9" s="274" t="s">
        <v>12</v>
      </c>
      <c r="G9" s="270">
        <f>SUM(G11:G13)</f>
        <v>1263729</v>
      </c>
      <c r="H9" s="417"/>
    </row>
    <row r="10" spans="1:8" ht="12.75">
      <c r="A10" s="272" t="s">
        <v>279</v>
      </c>
      <c r="B10" s="272" t="s">
        <v>425</v>
      </c>
      <c r="C10" s="536"/>
      <c r="D10" s="536"/>
      <c r="E10" s="143"/>
      <c r="F10" s="418" t="s">
        <v>102</v>
      </c>
      <c r="G10" s="270"/>
      <c r="H10" s="417"/>
    </row>
    <row r="11" spans="1:8" ht="12.75">
      <c r="A11" s="272" t="s">
        <v>279</v>
      </c>
      <c r="B11" s="272" t="s">
        <v>426</v>
      </c>
      <c r="C11" s="536"/>
      <c r="D11" s="536"/>
      <c r="E11" s="143"/>
      <c r="F11" s="272" t="s">
        <v>9</v>
      </c>
      <c r="G11" s="270">
        <v>32364</v>
      </c>
      <c r="H11" s="417">
        <v>0.2</v>
      </c>
    </row>
    <row r="12" spans="1:8" ht="12.75">
      <c r="A12" s="272" t="s">
        <v>279</v>
      </c>
      <c r="B12" s="272" t="s">
        <v>427</v>
      </c>
      <c r="C12" s="536"/>
      <c r="D12" s="536"/>
      <c r="E12" s="143"/>
      <c r="F12" s="272" t="s">
        <v>10</v>
      </c>
      <c r="G12" s="270">
        <v>466142</v>
      </c>
      <c r="H12" s="417">
        <v>0.5</v>
      </c>
    </row>
    <row r="13" spans="1:8" ht="12.75">
      <c r="A13" s="272" t="s">
        <v>428</v>
      </c>
      <c r="B13" s="272" t="s">
        <v>425</v>
      </c>
      <c r="C13" s="536"/>
      <c r="D13" s="536"/>
      <c r="E13" s="143"/>
      <c r="F13" s="272" t="s">
        <v>11</v>
      </c>
      <c r="G13" s="270">
        <v>765223</v>
      </c>
      <c r="H13" s="417">
        <v>0</v>
      </c>
    </row>
    <row r="14" spans="1:8" ht="12.75">
      <c r="A14" s="272" t="s">
        <v>428</v>
      </c>
      <c r="B14" s="272" t="s">
        <v>426</v>
      </c>
      <c r="C14" s="536"/>
      <c r="D14" s="536"/>
      <c r="E14" s="143"/>
      <c r="F14" s="10"/>
      <c r="G14" s="155"/>
      <c r="H14" s="410"/>
    </row>
    <row r="15" spans="1:8" ht="12.75">
      <c r="A15" s="272" t="s">
        <v>428</v>
      </c>
      <c r="B15" s="272" t="s">
        <v>427</v>
      </c>
      <c r="C15" s="536"/>
      <c r="D15" s="536"/>
      <c r="E15" s="143"/>
      <c r="F15" s="411" t="s">
        <v>856</v>
      </c>
      <c r="G15" s="7">
        <f>G8+G9</f>
        <v>8542978</v>
      </c>
      <c r="H15" s="412"/>
    </row>
    <row r="16" spans="1:8" ht="12.75">
      <c r="A16" s="272" t="s">
        <v>275</v>
      </c>
      <c r="B16" s="272" t="s">
        <v>425</v>
      </c>
      <c r="C16" s="536">
        <v>1523743</v>
      </c>
      <c r="D16" s="536">
        <v>1279044</v>
      </c>
      <c r="E16" s="143"/>
      <c r="F16" s="10"/>
      <c r="G16" s="155"/>
      <c r="H16" s="410"/>
    </row>
    <row r="17" spans="1:8" ht="12.75">
      <c r="A17" s="272" t="s">
        <v>275</v>
      </c>
      <c r="B17" s="272" t="s">
        <v>426</v>
      </c>
      <c r="C17" s="536">
        <v>0</v>
      </c>
      <c r="D17" s="536">
        <v>14473</v>
      </c>
      <c r="E17" s="143"/>
      <c r="F17" s="413" t="s">
        <v>1005</v>
      </c>
      <c r="G17" s="8">
        <f>-((G8*H8)+(SUMPRODUCT(G11:G13,H11:H13)))</f>
        <v>-239543.8</v>
      </c>
      <c r="H17" s="139"/>
    </row>
    <row r="18" spans="1:8" ht="12.75">
      <c r="A18" s="272" t="s">
        <v>275</v>
      </c>
      <c r="B18" s="272" t="s">
        <v>427</v>
      </c>
      <c r="C18" s="536"/>
      <c r="D18" s="536"/>
      <c r="E18" s="143"/>
      <c r="F18" s="413" t="s">
        <v>1006</v>
      </c>
      <c r="G18" s="652" t="s">
        <v>1007</v>
      </c>
      <c r="H18" s="402"/>
    </row>
    <row r="19" spans="1:8" ht="12.75">
      <c r="A19" s="272" t="s">
        <v>277</v>
      </c>
      <c r="B19" s="272" t="s">
        <v>425</v>
      </c>
      <c r="C19" s="536"/>
      <c r="D19" s="536"/>
      <c r="E19" s="143"/>
      <c r="F19" s="414" t="s">
        <v>858</v>
      </c>
      <c r="G19" s="415">
        <f>G15+G17+G18+1</f>
        <v>8260202.2</v>
      </c>
      <c r="H19" s="7"/>
    </row>
    <row r="20" spans="1:8" ht="12.75">
      <c r="A20" s="272" t="s">
        <v>277</v>
      </c>
      <c r="B20" s="272" t="s">
        <v>426</v>
      </c>
      <c r="C20" s="536"/>
      <c r="D20" s="536"/>
      <c r="E20" s="143"/>
      <c r="F20" s="10"/>
      <c r="G20" s="406"/>
      <c r="H20" s="16"/>
    </row>
    <row r="21" spans="1:8" ht="15" customHeight="1">
      <c r="A21" s="272" t="s">
        <v>1000</v>
      </c>
      <c r="B21" s="272" t="s">
        <v>425</v>
      </c>
      <c r="C21" s="536">
        <v>12000</v>
      </c>
      <c r="D21" s="536"/>
      <c r="E21" s="143"/>
      <c r="F21" s="6" t="s">
        <v>13</v>
      </c>
      <c r="G21" s="407"/>
      <c r="H21" s="407"/>
    </row>
    <row r="22" spans="1:8" ht="12.75">
      <c r="A22" s="272" t="s">
        <v>429</v>
      </c>
      <c r="B22" s="272" t="s">
        <v>426</v>
      </c>
      <c r="C22" s="536"/>
      <c r="D22" s="536"/>
      <c r="E22" s="143"/>
      <c r="F22" s="156" t="s">
        <v>14</v>
      </c>
      <c r="G22" s="408" t="s">
        <v>859</v>
      </c>
      <c r="H22" s="408" t="s">
        <v>860</v>
      </c>
    </row>
    <row r="23" spans="1:8" ht="12.75">
      <c r="A23" s="272" t="s">
        <v>429</v>
      </c>
      <c r="B23" s="272" t="s">
        <v>427</v>
      </c>
      <c r="C23" s="536"/>
      <c r="D23" s="536"/>
      <c r="E23" s="143"/>
      <c r="F23" s="10" t="s">
        <v>9</v>
      </c>
      <c r="G23" s="273">
        <v>181</v>
      </c>
      <c r="H23" s="273">
        <v>365</v>
      </c>
    </row>
    <row r="24" spans="1:8" ht="12.75">
      <c r="A24" s="272" t="s">
        <v>430</v>
      </c>
      <c r="B24" s="272"/>
      <c r="C24" s="536">
        <v>-149104</v>
      </c>
      <c r="D24" s="536">
        <v>-399785</v>
      </c>
      <c r="E24" s="143"/>
      <c r="F24" s="10" t="s">
        <v>10</v>
      </c>
      <c r="G24" s="273">
        <v>366</v>
      </c>
      <c r="H24" s="273">
        <v>730</v>
      </c>
    </row>
    <row r="25" spans="1:8" ht="12.75">
      <c r="A25" s="272" t="s">
        <v>3</v>
      </c>
      <c r="B25" s="272"/>
      <c r="C25" s="536">
        <f>+SUM($C$7:C24)</f>
        <v>7496274</v>
      </c>
      <c r="D25" s="536">
        <f>+SUM($D$7:D24)</f>
        <v>7030723</v>
      </c>
      <c r="E25" s="143"/>
      <c r="F25" s="10" t="s">
        <v>11</v>
      </c>
      <c r="G25" s="273">
        <v>731</v>
      </c>
      <c r="H25" s="273">
        <v>10000</v>
      </c>
    </row>
    <row r="26" spans="1:5" ht="12.75">
      <c r="A26" s="2"/>
      <c r="B26" s="2"/>
      <c r="E26" s="143"/>
    </row>
    <row r="27" spans="1:5" ht="12.75">
      <c r="A27" s="153"/>
      <c r="B27" s="153"/>
      <c r="E27" s="143"/>
    </row>
    <row r="28" spans="1:5" ht="12.75">
      <c r="A28" s="2" t="s">
        <v>863</v>
      </c>
      <c r="B28" s="2"/>
      <c r="E28" s="143"/>
    </row>
    <row r="29" spans="1:5" ht="12.75">
      <c r="A29" s="153"/>
      <c r="B29" s="153"/>
      <c r="C29" s="740" t="s">
        <v>227</v>
      </c>
      <c r="D29" s="741"/>
      <c r="E29" s="143"/>
    </row>
    <row r="30" spans="1:5" ht="12.75">
      <c r="A30" s="16"/>
      <c r="B30" s="16"/>
      <c r="C30" s="421">
        <f>_xlfn.IFERROR(IF(Indice!B6="","2XX2",YEAR(Indice!B6)),"2XX2")</f>
        <v>2021</v>
      </c>
      <c r="D30" s="421">
        <f>_xlfn.IFERROR(YEAR(Indice!B6-365),"2XX1")</f>
        <v>2020</v>
      </c>
      <c r="E30" s="143"/>
    </row>
    <row r="31" spans="1:4" ht="12.75">
      <c r="A31" s="272" t="s">
        <v>278</v>
      </c>
      <c r="B31" s="272" t="s">
        <v>425</v>
      </c>
      <c r="C31" s="536"/>
      <c r="D31" s="536"/>
    </row>
    <row r="32" spans="1:4" ht="15" customHeight="1">
      <c r="A32" s="272" t="s">
        <v>278</v>
      </c>
      <c r="B32" s="272" t="s">
        <v>426</v>
      </c>
      <c r="C32" s="536"/>
      <c r="D32" s="536"/>
    </row>
    <row r="33" spans="1:4" ht="12.75">
      <c r="A33" s="272" t="s">
        <v>278</v>
      </c>
      <c r="B33" s="272" t="s">
        <v>427</v>
      </c>
      <c r="C33" s="536"/>
      <c r="D33" s="536"/>
    </row>
    <row r="34" spans="1:4" ht="12.75">
      <c r="A34" s="272" t="s">
        <v>279</v>
      </c>
      <c r="B34" s="272" t="s">
        <v>425</v>
      </c>
      <c r="C34" s="536"/>
      <c r="D34" s="536"/>
    </row>
    <row r="35" spans="1:4" ht="12.75">
      <c r="A35" s="272" t="s">
        <v>279</v>
      </c>
      <c r="B35" s="272" t="s">
        <v>426</v>
      </c>
      <c r="C35" s="536"/>
      <c r="D35" s="536"/>
    </row>
    <row r="36" spans="1:4" ht="12.75">
      <c r="A36" s="272" t="s">
        <v>279</v>
      </c>
      <c r="B36" s="272" t="s">
        <v>427</v>
      </c>
      <c r="C36" s="536"/>
      <c r="D36" s="536"/>
    </row>
    <row r="37" spans="1:4" ht="12.75">
      <c r="A37" s="272" t="s">
        <v>428</v>
      </c>
      <c r="B37" s="272" t="s">
        <v>425</v>
      </c>
      <c r="C37" s="536"/>
      <c r="D37" s="536"/>
    </row>
    <row r="38" spans="1:4" ht="12.75">
      <c r="A38" s="272" t="s">
        <v>428</v>
      </c>
      <c r="B38" s="272" t="s">
        <v>426</v>
      </c>
      <c r="C38" s="536"/>
      <c r="D38" s="536"/>
    </row>
    <row r="39" spans="1:4" ht="12.75">
      <c r="A39" s="272" t="s">
        <v>428</v>
      </c>
      <c r="B39" s="272" t="s">
        <v>427</v>
      </c>
      <c r="C39" s="536"/>
      <c r="D39" s="536"/>
    </row>
    <row r="40" spans="1:4" ht="12.75">
      <c r="A40" s="272" t="s">
        <v>275</v>
      </c>
      <c r="B40" s="272" t="s">
        <v>425</v>
      </c>
      <c r="C40" s="536"/>
      <c r="D40" s="536"/>
    </row>
    <row r="41" spans="1:4" ht="12.75">
      <c r="A41" s="272" t="s">
        <v>275</v>
      </c>
      <c r="B41" s="272" t="s">
        <v>426</v>
      </c>
      <c r="C41" s="536"/>
      <c r="D41" s="536"/>
    </row>
    <row r="42" spans="1:4" ht="12.75">
      <c r="A42" s="272" t="s">
        <v>275</v>
      </c>
      <c r="B42" s="272" t="s">
        <v>427</v>
      </c>
      <c r="C42" s="536"/>
      <c r="D42" s="536"/>
    </row>
    <row r="43" spans="1:4" ht="12.75">
      <c r="A43" s="272" t="s">
        <v>276</v>
      </c>
      <c r="B43" s="272" t="s">
        <v>425</v>
      </c>
      <c r="C43" s="536"/>
      <c r="D43" s="536"/>
    </row>
    <row r="44" spans="1:4" ht="12.75">
      <c r="A44" s="272" t="s">
        <v>276</v>
      </c>
      <c r="B44" s="272" t="s">
        <v>426</v>
      </c>
      <c r="C44" s="536"/>
      <c r="D44" s="536"/>
    </row>
    <row r="45" spans="1:4" ht="12.75">
      <c r="A45" s="272" t="s">
        <v>276</v>
      </c>
      <c r="B45" s="272" t="s">
        <v>427</v>
      </c>
      <c r="C45" s="536"/>
      <c r="D45" s="536"/>
    </row>
    <row r="46" spans="1:4" ht="12.75">
      <c r="A46" s="272" t="s">
        <v>277</v>
      </c>
      <c r="B46" s="272" t="s">
        <v>425</v>
      </c>
      <c r="C46" s="536">
        <v>894601</v>
      </c>
      <c r="D46" s="536">
        <v>1101619</v>
      </c>
    </row>
    <row r="47" spans="1:4" ht="12.75">
      <c r="A47" s="272" t="s">
        <v>277</v>
      </c>
      <c r="B47" s="272" t="s">
        <v>426</v>
      </c>
      <c r="C47" s="536">
        <v>0</v>
      </c>
      <c r="D47" s="536">
        <v>0</v>
      </c>
    </row>
    <row r="48" spans="1:4" ht="12.75">
      <c r="A48" s="272" t="s">
        <v>1000</v>
      </c>
      <c r="B48" s="272" t="s">
        <v>425</v>
      </c>
      <c r="C48" s="536">
        <v>3000</v>
      </c>
      <c r="D48" s="536"/>
    </row>
    <row r="49" spans="1:4" ht="12.75">
      <c r="A49" s="272" t="s">
        <v>429</v>
      </c>
      <c r="B49" s="272" t="s">
        <v>426</v>
      </c>
      <c r="C49" s="536"/>
      <c r="D49" s="536"/>
    </row>
    <row r="50" spans="1:4" ht="12.75">
      <c r="A50" s="272" t="s">
        <v>429</v>
      </c>
      <c r="B50" s="272" t="s">
        <v>427</v>
      </c>
      <c r="C50" s="536"/>
      <c r="D50" s="536"/>
    </row>
    <row r="51" spans="1:4" ht="12.75">
      <c r="A51" s="272" t="s">
        <v>430</v>
      </c>
      <c r="B51" s="272"/>
      <c r="C51" s="536">
        <v>-133673</v>
      </c>
      <c r="D51" s="536">
        <v>-364704</v>
      </c>
    </row>
    <row r="52" spans="1:4" ht="12.75">
      <c r="A52" s="272" t="s">
        <v>3</v>
      </c>
      <c r="B52" s="272"/>
      <c r="C52" s="536">
        <f>+SUM($C$31:C51)</f>
        <v>763928</v>
      </c>
      <c r="D52" s="536">
        <f>+SUM($D$31:D51)</f>
        <v>736915</v>
      </c>
    </row>
    <row r="53" spans="2:4" ht="12.75">
      <c r="B53" s="271"/>
      <c r="C53" s="271"/>
      <c r="D53" s="271"/>
    </row>
    <row r="54" spans="1:4" ht="12.75">
      <c r="A54" s="271"/>
      <c r="B54" s="271"/>
      <c r="C54" s="271"/>
      <c r="D54" s="271"/>
    </row>
    <row r="55" spans="1:5" ht="12.75">
      <c r="A55" s="271"/>
      <c r="B55" s="271"/>
      <c r="C55" s="271"/>
      <c r="D55" s="271"/>
      <c r="E55" s="271"/>
    </row>
    <row r="56" ht="12.75">
      <c r="E56" s="271"/>
    </row>
    <row r="57" ht="12.75">
      <c r="E57" s="271"/>
    </row>
    <row r="58" ht="12.75">
      <c r="E58" s="271"/>
    </row>
  </sheetData>
  <sheetProtection/>
  <mergeCells count="2">
    <mergeCell ref="C5:D5"/>
    <mergeCell ref="C29:D29"/>
  </mergeCells>
  <hyperlinks>
    <hyperlink ref="F1" location="BG!A1" display="BG"/>
  </hyperlinks>
  <printOptions/>
  <pageMargins left="0.7086614173228347" right="0.7086614173228347" top="0.7480314960629921" bottom="0.7480314960629921" header="0.31496062992125984" footer="0.31496062992125984"/>
  <pageSetup horizontalDpi="600" verticalDpi="600" orientation="portrait" paperSize="5" scale="80" r:id="rId1"/>
</worksheet>
</file>

<file path=xl/worksheets/sheet12.xml><?xml version="1.0" encoding="utf-8"?>
<worksheet xmlns="http://schemas.openxmlformats.org/spreadsheetml/2006/main" xmlns:r="http://schemas.openxmlformats.org/officeDocument/2006/relationships">
  <sheetPr codeName="Hoja11"/>
  <dimension ref="A1:G37"/>
  <sheetViews>
    <sheetView showGridLines="0" zoomScalePageLayoutView="0" workbookViewId="0" topLeftCell="A1">
      <selection activeCell="B13" sqref="B13"/>
    </sheetView>
  </sheetViews>
  <sheetFormatPr defaultColWidth="11.421875" defaultRowHeight="15"/>
  <cols>
    <col min="1" max="1" width="44.140625" style="2" bestFit="1" customWidth="1"/>
    <col min="2" max="2" width="20.8515625" style="2" customWidth="1"/>
    <col min="3" max="3" width="14.8515625" style="2" bestFit="1" customWidth="1"/>
    <col min="4" max="4" width="3.421875" style="2" bestFit="1" customWidth="1"/>
    <col min="5" max="5" width="38.8515625" style="2" bestFit="1" customWidth="1"/>
    <col min="6" max="6" width="18.28125" style="2" bestFit="1" customWidth="1"/>
    <col min="7" max="7" width="14.28125" style="2" customWidth="1"/>
    <col min="8" max="16384" width="11.421875" style="2" customWidth="1"/>
  </cols>
  <sheetData>
    <row r="1" spans="1:4" ht="15">
      <c r="A1" s="3" t="str">
        <f>Indice!C1</f>
        <v>IMPORT CENTER S.A.</v>
      </c>
      <c r="D1" s="176" t="s">
        <v>129</v>
      </c>
    </row>
    <row r="2" ht="12.75">
      <c r="A2" s="3"/>
    </row>
    <row r="3" ht="12.75">
      <c r="A3" s="3"/>
    </row>
    <row r="4" spans="1:3" ht="12.75">
      <c r="A4" s="337" t="s">
        <v>274</v>
      </c>
      <c r="B4" s="337"/>
      <c r="C4" s="337"/>
    </row>
    <row r="5" spans="1:2" ht="12.75">
      <c r="A5" s="282" t="s">
        <v>293</v>
      </c>
      <c r="B5" s="282"/>
    </row>
    <row r="6" ht="12.75">
      <c r="A6" s="2" t="s">
        <v>15</v>
      </c>
    </row>
    <row r="8" spans="1:7" ht="12.75">
      <c r="A8" s="13" t="s">
        <v>65</v>
      </c>
      <c r="B8" s="11"/>
      <c r="C8" s="11"/>
      <c r="E8" s="13" t="s">
        <v>64</v>
      </c>
      <c r="F8" s="19"/>
      <c r="G8" s="11"/>
    </row>
    <row r="9" spans="1:7" ht="12.75">
      <c r="A9" s="11"/>
      <c r="E9" s="11"/>
      <c r="F9" s="320"/>
      <c r="G9" s="320"/>
    </row>
    <row r="10" spans="1:7" ht="12.75">
      <c r="A10" s="14" t="s">
        <v>5</v>
      </c>
      <c r="B10" s="423">
        <f>_xlfn.IFERROR(IF(Indice!B6="","2XX2",YEAR(Indice!B6)),"2XX2")</f>
        <v>2021</v>
      </c>
      <c r="C10" s="423">
        <f>_xlfn.IFERROR(YEAR(Indice!B6-365),"2XX1")</f>
        <v>2020</v>
      </c>
      <c r="E10" s="14" t="s">
        <v>5</v>
      </c>
      <c r="F10" s="423">
        <f>_xlfn.IFERROR(IF(Indice!B6="","2XX2",YEAR(Indice!B6)),"2XX2")</f>
        <v>2021</v>
      </c>
      <c r="G10" s="423">
        <f>_xlfn.IFERROR(YEAR(Indice!B6-365),"2XX1")</f>
        <v>2020</v>
      </c>
    </row>
    <row r="11" spans="1:7" ht="12.75">
      <c r="A11" s="11" t="s">
        <v>285</v>
      </c>
      <c r="B11" s="29">
        <v>7622175</v>
      </c>
      <c r="C11" s="29">
        <v>6639900</v>
      </c>
      <c r="E11" s="11" t="s">
        <v>16</v>
      </c>
      <c r="F11" s="160"/>
      <c r="G11" s="160"/>
    </row>
    <row r="12" spans="1:7" ht="12.75">
      <c r="A12" s="11" t="s">
        <v>101</v>
      </c>
      <c r="B12" s="29"/>
      <c r="C12" s="29"/>
      <c r="E12" s="11" t="s">
        <v>284</v>
      </c>
      <c r="F12" s="160"/>
      <c r="G12" s="160"/>
    </row>
    <row r="13" spans="1:7" ht="12.75">
      <c r="A13" s="11" t="s">
        <v>17</v>
      </c>
      <c r="B13" s="9">
        <v>16542</v>
      </c>
      <c r="C13" s="22">
        <v>0</v>
      </c>
      <c r="E13" s="11" t="s">
        <v>286</v>
      </c>
      <c r="F13" s="29"/>
      <c r="G13" s="29"/>
    </row>
    <row r="14" spans="1:7" ht="12.75">
      <c r="A14" s="11" t="s">
        <v>59</v>
      </c>
      <c r="B14" s="9">
        <v>0</v>
      </c>
      <c r="C14" s="9">
        <v>0</v>
      </c>
      <c r="E14" s="11" t="s">
        <v>970</v>
      </c>
      <c r="F14" s="596">
        <v>39395</v>
      </c>
      <c r="G14" s="596">
        <v>59092</v>
      </c>
    </row>
    <row r="15" spans="1:7" ht="12.75">
      <c r="A15" s="11" t="s">
        <v>60</v>
      </c>
      <c r="B15" s="9">
        <v>24760</v>
      </c>
      <c r="C15" s="22">
        <v>0</v>
      </c>
      <c r="E15" s="13"/>
      <c r="F15" s="595"/>
      <c r="G15" s="595"/>
    </row>
    <row r="16" spans="1:7" ht="12.75">
      <c r="A16" s="11" t="s">
        <v>918</v>
      </c>
      <c r="B16" s="9">
        <v>234</v>
      </c>
      <c r="C16" s="22">
        <v>123</v>
      </c>
      <c r="E16" s="13"/>
      <c r="F16" s="595"/>
      <c r="G16" s="595"/>
    </row>
    <row r="17" spans="1:7" ht="12.75">
      <c r="A17" s="11" t="s">
        <v>919</v>
      </c>
      <c r="B17" s="9">
        <v>257</v>
      </c>
      <c r="C17" s="22">
        <v>136</v>
      </c>
      <c r="E17" s="13"/>
      <c r="F17" s="145"/>
      <c r="G17" s="145"/>
    </row>
    <row r="18" spans="1:7" ht="12.75">
      <c r="A18" s="11" t="s">
        <v>920</v>
      </c>
      <c r="B18" s="9">
        <v>78107</v>
      </c>
      <c r="C18" s="22">
        <v>99692</v>
      </c>
      <c r="E18" s="11" t="s">
        <v>66</v>
      </c>
      <c r="F18" s="126"/>
      <c r="G18" s="126"/>
    </row>
    <row r="19" spans="1:7" ht="13.5" thickBot="1">
      <c r="A19" s="11" t="s">
        <v>966</v>
      </c>
      <c r="B19" s="9">
        <v>39995</v>
      </c>
      <c r="C19" s="22">
        <v>37769</v>
      </c>
      <c r="E19" s="13" t="s">
        <v>3</v>
      </c>
      <c r="F19" s="17">
        <f>SUM(F11:F18)</f>
        <v>39395</v>
      </c>
      <c r="G19" s="17">
        <f>SUM(G11:G18)</f>
        <v>59092</v>
      </c>
    </row>
    <row r="20" spans="1:7" ht="13.5" thickTop="1">
      <c r="A20" s="11" t="s">
        <v>967</v>
      </c>
      <c r="B20" s="9">
        <v>99239</v>
      </c>
      <c r="C20" s="22">
        <v>51547</v>
      </c>
      <c r="E20" s="13"/>
      <c r="F20" s="145"/>
      <c r="G20" s="145"/>
    </row>
    <row r="21" spans="1:7" ht="12.75">
      <c r="A21" s="11" t="s">
        <v>968</v>
      </c>
      <c r="B21" s="9">
        <v>25270</v>
      </c>
      <c r="C21" s="22">
        <v>25270</v>
      </c>
      <c r="E21" s="13"/>
      <c r="F21" s="145"/>
      <c r="G21" s="145"/>
    </row>
    <row r="22" spans="1:7" ht="12.75">
      <c r="A22" s="11" t="s">
        <v>969</v>
      </c>
      <c r="B22" s="9">
        <v>1454</v>
      </c>
      <c r="C22" s="22">
        <v>1454</v>
      </c>
      <c r="E22" s="13"/>
      <c r="F22" s="145"/>
      <c r="G22" s="145"/>
    </row>
    <row r="23" spans="1:7" ht="12.75">
      <c r="A23" s="11" t="s">
        <v>991</v>
      </c>
      <c r="B23" s="9">
        <v>581498</v>
      </c>
      <c r="C23" s="22">
        <v>0</v>
      </c>
      <c r="E23" s="13"/>
      <c r="F23" s="145"/>
      <c r="G23" s="145"/>
    </row>
    <row r="24" spans="1:7" ht="12.75">
      <c r="A24" s="11" t="s">
        <v>16</v>
      </c>
      <c r="B24" s="9"/>
      <c r="C24" s="22">
        <v>0</v>
      </c>
      <c r="E24" s="13"/>
      <c r="F24" s="145"/>
      <c r="G24" s="145"/>
    </row>
    <row r="25" spans="1:7" ht="12.75">
      <c r="A25" s="11" t="s">
        <v>66</v>
      </c>
      <c r="B25" s="126"/>
      <c r="C25" s="126"/>
      <c r="F25" s="45"/>
      <c r="G25" s="45"/>
    </row>
    <row r="26" spans="1:3" ht="13.5" thickBot="1">
      <c r="A26" s="13" t="s">
        <v>3</v>
      </c>
      <c r="B26" s="17">
        <f>SUM($B$11:B25)+2</f>
        <v>8489533</v>
      </c>
      <c r="C26" s="17">
        <f>SUM($C$11:C25)</f>
        <v>6855891</v>
      </c>
    </row>
    <row r="27" spans="1:3" ht="13.5" thickTop="1">
      <c r="A27" s="13"/>
      <c r="B27" s="145"/>
      <c r="C27" s="145"/>
    </row>
    <row r="28" spans="2:3" ht="12.75">
      <c r="B28" s="18"/>
      <c r="C28" s="18"/>
    </row>
    <row r="37" spans="5:7" ht="15">
      <c r="E37"/>
      <c r="F37"/>
      <c r="G37"/>
    </row>
    <row r="38" ht="15"/>
    <row r="39" ht="15"/>
    <row r="40" ht="15"/>
    <row r="41" ht="15"/>
    <row r="42" ht="15"/>
  </sheetData>
  <sheetProtection/>
  <hyperlinks>
    <hyperlink ref="D1" location="BG!A1" display="BG"/>
  </hyperlinks>
  <printOptions/>
  <pageMargins left="0.7086614173228347" right="0.7086614173228347" top="0.7480314960629921" bottom="0.7480314960629921" header="0.31496062992125984" footer="0.31496062992125984"/>
  <pageSetup horizontalDpi="600" verticalDpi="600" orientation="portrait" paperSize="5" scale="80" r:id="rId1"/>
</worksheet>
</file>

<file path=xl/worksheets/sheet13.xml><?xml version="1.0" encoding="utf-8"?>
<worksheet xmlns="http://schemas.openxmlformats.org/spreadsheetml/2006/main" xmlns:r="http://schemas.openxmlformats.org/officeDocument/2006/relationships">
  <sheetPr codeName="Hoja12"/>
  <dimension ref="A1:G16"/>
  <sheetViews>
    <sheetView showGridLines="0" zoomScalePageLayoutView="0" workbookViewId="0" topLeftCell="A1">
      <selection activeCell="B14" sqref="B14"/>
    </sheetView>
  </sheetViews>
  <sheetFormatPr defaultColWidth="11.421875" defaultRowHeight="15"/>
  <cols>
    <col min="1" max="1" width="50.140625" style="0" customWidth="1"/>
    <col min="2" max="2" width="19.00390625" style="0" customWidth="1"/>
    <col min="3" max="3" width="16.57421875" style="0" customWidth="1"/>
  </cols>
  <sheetData>
    <row r="1" spans="1:4" ht="15">
      <c r="A1" s="127" t="str">
        <f>Indice!C1</f>
        <v>IMPORT CENTER S.A.</v>
      </c>
      <c r="D1" s="176" t="s">
        <v>129</v>
      </c>
    </row>
    <row r="4" spans="1:3" ht="15">
      <c r="A4" s="743" t="s">
        <v>287</v>
      </c>
      <c r="B4" s="743"/>
      <c r="C4" s="743"/>
    </row>
    <row r="6" spans="1:7" ht="15">
      <c r="A6" s="742" t="s">
        <v>19</v>
      </c>
      <c r="B6" s="742"/>
      <c r="C6" s="742"/>
      <c r="D6" s="742"/>
      <c r="E6" s="742"/>
      <c r="F6" s="742"/>
      <c r="G6" s="742"/>
    </row>
    <row r="7" spans="2:3" ht="15" customHeight="1">
      <c r="B7" s="739" t="s">
        <v>293</v>
      </c>
      <c r="C7" s="739"/>
    </row>
    <row r="8" spans="1:3" ht="15">
      <c r="A8" s="14" t="s">
        <v>5</v>
      </c>
      <c r="B8" s="423">
        <f>_xlfn.IFERROR(IF(Indice!B6="","2XX2",YEAR(Indice!B6)),"2XX2")</f>
        <v>2021</v>
      </c>
      <c r="C8" s="423">
        <f>_xlfn.IFERROR(YEAR(Indice!B6-365),"2XX1")</f>
        <v>2020</v>
      </c>
    </row>
    <row r="9" spans="1:3" ht="15">
      <c r="A9" s="24" t="s">
        <v>97</v>
      </c>
      <c r="B9" s="9">
        <v>26673558</v>
      </c>
      <c r="C9" s="20">
        <v>21283307</v>
      </c>
    </row>
    <row r="10" spans="1:3" ht="15">
      <c r="A10" s="24" t="s">
        <v>98</v>
      </c>
      <c r="B10" s="9">
        <v>866171</v>
      </c>
      <c r="C10" s="20">
        <v>31961</v>
      </c>
    </row>
    <row r="11" spans="1:3" ht="15">
      <c r="A11" s="24" t="s">
        <v>99</v>
      </c>
      <c r="B11" s="9">
        <v>7618</v>
      </c>
      <c r="C11" s="20">
        <v>33342</v>
      </c>
    </row>
    <row r="12" spans="1:3" ht="15">
      <c r="A12" s="24" t="s">
        <v>100</v>
      </c>
      <c r="B12" s="9">
        <f>3889518+190807</f>
        <v>4080325</v>
      </c>
      <c r="C12" s="20">
        <f>850252+25542</f>
        <v>875794</v>
      </c>
    </row>
    <row r="13" spans="1:3" s="476" customFormat="1" ht="15">
      <c r="A13" s="24" t="s">
        <v>921</v>
      </c>
      <c r="B13" s="9">
        <v>760405</v>
      </c>
      <c r="C13" s="20">
        <v>0</v>
      </c>
    </row>
    <row r="14" spans="1:3" ht="15">
      <c r="A14" s="24" t="s">
        <v>66</v>
      </c>
      <c r="B14" s="9"/>
      <c r="C14" s="20"/>
    </row>
    <row r="15" spans="1:3" ht="15" customHeight="1">
      <c r="A15" s="276" t="s">
        <v>288</v>
      </c>
      <c r="B15" s="9"/>
      <c r="C15" s="20"/>
    </row>
    <row r="16" spans="1:3" ht="15.75" thickBot="1">
      <c r="A16" s="13" t="s">
        <v>18</v>
      </c>
      <c r="B16" s="23">
        <f>SUM(B9:B13)-1</f>
        <v>32388076</v>
      </c>
      <c r="C16" s="25">
        <f>SUM(C9:C13)</f>
        <v>22224404</v>
      </c>
    </row>
    <row r="17" ht="15.75" thickTop="1"/>
  </sheetData>
  <sheetProtection/>
  <mergeCells count="3">
    <mergeCell ref="B7:C7"/>
    <mergeCell ref="A6:G6"/>
    <mergeCell ref="A4:C4"/>
  </mergeCells>
  <hyperlinks>
    <hyperlink ref="D1" location="BG!A1" display="BG"/>
  </hyperlinks>
  <printOptions/>
  <pageMargins left="0.7086614173228347" right="0.7086614173228347" top="0.7480314960629921" bottom="0.7480314960629921" header="0.31496062992125984" footer="0.31496062992125984"/>
  <pageSetup horizontalDpi="600" verticalDpi="600" orientation="portrait" paperSize="5" scale="80" r:id="rId1"/>
</worksheet>
</file>

<file path=xl/worksheets/sheet14.xml><?xml version="1.0" encoding="utf-8"?>
<worksheet xmlns="http://schemas.openxmlformats.org/spreadsheetml/2006/main" xmlns:r="http://schemas.openxmlformats.org/officeDocument/2006/relationships">
  <sheetPr codeName="Hoja13"/>
  <dimension ref="A1:AD18"/>
  <sheetViews>
    <sheetView zoomScalePageLayoutView="0" workbookViewId="0" topLeftCell="A1">
      <selection activeCell="A1" sqref="A1"/>
    </sheetView>
  </sheetViews>
  <sheetFormatPr defaultColWidth="11.421875" defaultRowHeight="15"/>
  <cols>
    <col min="1" max="2" width="22.8515625" style="154" customWidth="1"/>
    <col min="3" max="3" width="29.28125" style="154" bestFit="1" customWidth="1"/>
    <col min="4" max="4" width="25.8515625" style="154" customWidth="1"/>
    <col min="5" max="5" width="26.140625" style="154" customWidth="1"/>
    <col min="6" max="6" width="3.421875" style="154" customWidth="1"/>
    <col min="7" max="7" width="29.28125" style="154" bestFit="1" customWidth="1"/>
    <col min="8" max="8" width="33.00390625" style="154" bestFit="1" customWidth="1"/>
    <col min="9" max="9" width="33.00390625" style="154" customWidth="1"/>
    <col min="10" max="10" width="39.28125" style="154" bestFit="1" customWidth="1"/>
    <col min="11" max="11" width="37.421875" style="154" bestFit="1" customWidth="1"/>
    <col min="12" max="12" width="35.7109375" style="154" bestFit="1" customWidth="1"/>
    <col min="13" max="30" width="11.421875" style="154" customWidth="1"/>
  </cols>
  <sheetData>
    <row r="1" spans="1:4" ht="15">
      <c r="A1" s="159" t="str">
        <f>Indice!C1</f>
        <v>IMPORT CENTER S.A.</v>
      </c>
      <c r="B1" s="177"/>
      <c r="D1" s="177" t="s">
        <v>129</v>
      </c>
    </row>
    <row r="4" spans="1:6" ht="15">
      <c r="A4" s="743" t="s">
        <v>290</v>
      </c>
      <c r="B4" s="743"/>
      <c r="C4" s="743"/>
      <c r="D4" s="743"/>
      <c r="E4" s="743"/>
      <c r="F4" s="743"/>
    </row>
    <row r="5" spans="1:6" s="34" customFormat="1" ht="15">
      <c r="A5" s="429" t="s">
        <v>227</v>
      </c>
      <c r="B5" s="430"/>
      <c r="C5" s="178"/>
      <c r="D5" s="178"/>
      <c r="E5" s="178"/>
      <c r="F5" s="178"/>
    </row>
    <row r="6" ht="15">
      <c r="A6" s="154" t="s">
        <v>291</v>
      </c>
    </row>
    <row r="7" spans="1:30" s="269" customFormat="1" ht="15">
      <c r="A7" s="154" t="s">
        <v>446</v>
      </c>
      <c r="B7" s="427">
        <f>_xlfn.IFERROR(IF(Indice!B6="","2XX2",YEAR(Indice!B6)),"2XX2")</f>
        <v>2021</v>
      </c>
      <c r="C7" s="426">
        <f>_xlfn.IFERROR(YEAR(Indice!B6-365),"2XX1")</f>
        <v>2020</v>
      </c>
      <c r="D7" s="154"/>
      <c r="E7" s="154"/>
      <c r="F7" s="154"/>
      <c r="G7" s="154"/>
      <c r="H7" s="154"/>
      <c r="I7" s="154"/>
      <c r="J7" s="154"/>
      <c r="K7" s="154"/>
      <c r="L7" s="154"/>
      <c r="M7" s="154"/>
      <c r="N7" s="154"/>
      <c r="O7" s="154"/>
      <c r="P7" s="154"/>
      <c r="Q7" s="154"/>
      <c r="R7" s="154"/>
      <c r="S7" s="154"/>
      <c r="T7" s="154"/>
      <c r="U7" s="154"/>
      <c r="V7" s="154"/>
      <c r="W7" s="154"/>
      <c r="X7" s="154"/>
      <c r="Y7" s="154"/>
      <c r="Z7" s="154"/>
      <c r="AA7" s="154"/>
      <c r="AB7" s="154"/>
      <c r="AC7" s="154"/>
      <c r="AD7" s="154"/>
    </row>
    <row r="8" spans="1:30" s="319" customFormat="1" ht="15">
      <c r="A8" s="154" t="s">
        <v>449</v>
      </c>
      <c r="B8" s="334">
        <f>SUM($I$13:I18)</f>
        <v>0</v>
      </c>
      <c r="C8" s="336">
        <v>0</v>
      </c>
      <c r="D8" s="333" t="s">
        <v>454</v>
      </c>
      <c r="E8" s="154"/>
      <c r="F8" s="154"/>
      <c r="G8" s="154"/>
      <c r="H8" s="154"/>
      <c r="I8" s="154"/>
      <c r="J8" s="154"/>
      <c r="K8" s="154"/>
      <c r="L8" s="154"/>
      <c r="M8" s="154"/>
      <c r="N8" s="154"/>
      <c r="O8" s="154"/>
      <c r="P8" s="154"/>
      <c r="Q8" s="154"/>
      <c r="R8" s="154"/>
      <c r="S8" s="154"/>
      <c r="T8" s="154"/>
      <c r="U8" s="154"/>
      <c r="V8" s="154"/>
      <c r="W8" s="154"/>
      <c r="X8" s="154"/>
      <c r="Y8" s="154"/>
      <c r="Z8" s="154"/>
      <c r="AA8" s="154"/>
      <c r="AB8" s="154"/>
      <c r="AC8" s="154"/>
      <c r="AD8" s="154"/>
    </row>
    <row r="9" spans="1:30" s="319" customFormat="1" ht="15">
      <c r="A9" s="154"/>
      <c r="B9" s="154"/>
      <c r="C9" s="154"/>
      <c r="D9" s="154"/>
      <c r="E9" s="154"/>
      <c r="F9" s="154"/>
      <c r="G9" s="154"/>
      <c r="H9" s="154"/>
      <c r="I9" s="154"/>
      <c r="J9" s="154"/>
      <c r="K9" s="154"/>
      <c r="L9" s="154"/>
      <c r="M9" s="154"/>
      <c r="N9" s="154"/>
      <c r="O9" s="154"/>
      <c r="P9" s="154"/>
      <c r="Q9" s="154"/>
      <c r="R9" s="154"/>
      <c r="S9" s="154"/>
      <c r="T9" s="154"/>
      <c r="U9" s="154"/>
      <c r="V9" s="154"/>
      <c r="W9" s="154"/>
      <c r="X9" s="154"/>
      <c r="Y9" s="154"/>
      <c r="Z9" s="154"/>
      <c r="AA9" s="154"/>
      <c r="AB9" s="154"/>
      <c r="AC9" s="154"/>
      <c r="AD9" s="154"/>
    </row>
    <row r="10" spans="1:30" s="269" customFormat="1" ht="15">
      <c r="A10" s="154" t="s">
        <v>294</v>
      </c>
      <c r="B10" s="154"/>
      <c r="C10" s="154"/>
      <c r="F10" s="154"/>
      <c r="G10" s="154" t="s">
        <v>447</v>
      </c>
      <c r="H10" s="154"/>
      <c r="I10" s="154"/>
      <c r="J10" s="154"/>
      <c r="K10" s="154"/>
      <c r="L10" s="154"/>
      <c r="M10" s="154"/>
      <c r="N10" s="154"/>
      <c r="O10" s="154"/>
      <c r="P10" s="154"/>
      <c r="Q10" s="154"/>
      <c r="R10" s="154"/>
      <c r="S10" s="154"/>
      <c r="T10" s="154"/>
      <c r="U10" s="154"/>
      <c r="V10" s="154"/>
      <c r="W10" s="154"/>
      <c r="X10" s="154"/>
      <c r="Y10" s="154"/>
      <c r="Z10" s="154"/>
      <c r="AA10" s="154"/>
      <c r="AB10" s="154"/>
      <c r="AC10" s="154"/>
      <c r="AD10" s="154"/>
    </row>
    <row r="11" spans="4:5" ht="15">
      <c r="D11" s="431">
        <f>_xlfn.IFERROR(IF(Indice!B6="","2XX2",YEAR(Indice!B6)),"2XX2")</f>
        <v>2021</v>
      </c>
      <c r="E11" s="428"/>
    </row>
    <row r="12" spans="1:12" ht="15" customHeight="1">
      <c r="A12" s="331" t="s">
        <v>431</v>
      </c>
      <c r="B12" s="321" t="s">
        <v>432</v>
      </c>
      <c r="C12" s="331" t="s">
        <v>448</v>
      </c>
      <c r="D12" s="332" t="s">
        <v>445</v>
      </c>
      <c r="E12" s="332" t="s">
        <v>292</v>
      </c>
      <c r="G12" s="331" t="s">
        <v>448</v>
      </c>
      <c r="H12" s="331" t="s">
        <v>450</v>
      </c>
      <c r="I12" s="331" t="s">
        <v>453</v>
      </c>
      <c r="J12" s="331" t="s">
        <v>451</v>
      </c>
      <c r="K12" s="331" t="s">
        <v>295</v>
      </c>
      <c r="L12" s="331" t="s">
        <v>452</v>
      </c>
    </row>
    <row r="13" spans="1:12" ht="15">
      <c r="A13" s="277"/>
      <c r="B13" s="277"/>
      <c r="C13" s="277"/>
      <c r="D13" s="277"/>
      <c r="E13" s="277"/>
      <c r="G13" s="277"/>
      <c r="H13" s="277"/>
      <c r="I13" s="277"/>
      <c r="J13" s="277"/>
      <c r="K13" s="335">
        <f aca="true" t="shared" si="0" ref="K13:K18">J13*D13</f>
        <v>0</v>
      </c>
      <c r="L13" s="335">
        <f aca="true" t="shared" si="1" ref="L13:L18">J13*E13</f>
        <v>0</v>
      </c>
    </row>
    <row r="14" spans="1:12" ht="15">
      <c r="A14" s="231"/>
      <c r="B14" s="231"/>
      <c r="C14" s="231"/>
      <c r="D14" s="231"/>
      <c r="E14" s="231"/>
      <c r="G14" s="231"/>
      <c r="H14" s="231"/>
      <c r="I14" s="231"/>
      <c r="J14" s="277"/>
      <c r="K14" s="335">
        <f t="shared" si="0"/>
        <v>0</v>
      </c>
      <c r="L14" s="335">
        <f t="shared" si="1"/>
        <v>0</v>
      </c>
    </row>
    <row r="15" spans="1:12" ht="15">
      <c r="A15" s="231"/>
      <c r="B15" s="231"/>
      <c r="C15" s="231"/>
      <c r="D15" s="231"/>
      <c r="E15" s="231"/>
      <c r="G15" s="231"/>
      <c r="H15" s="231"/>
      <c r="I15" s="231"/>
      <c r="J15" s="277"/>
      <c r="K15" s="335">
        <f t="shared" si="0"/>
        <v>0</v>
      </c>
      <c r="L15" s="335">
        <f t="shared" si="1"/>
        <v>0</v>
      </c>
    </row>
    <row r="16" spans="1:12" ht="15">
      <c r="A16" s="231"/>
      <c r="B16" s="231"/>
      <c r="C16" s="231"/>
      <c r="D16" s="231"/>
      <c r="E16" s="231"/>
      <c r="G16" s="231"/>
      <c r="H16" s="231"/>
      <c r="I16" s="231"/>
      <c r="J16" s="277"/>
      <c r="K16" s="335">
        <f t="shared" si="0"/>
        <v>0</v>
      </c>
      <c r="L16" s="335">
        <f t="shared" si="1"/>
        <v>0</v>
      </c>
    </row>
    <row r="17" spans="1:12" ht="15">
      <c r="A17" s="231"/>
      <c r="B17" s="231"/>
      <c r="C17" s="231"/>
      <c r="D17" s="231"/>
      <c r="E17" s="231"/>
      <c r="G17" s="231"/>
      <c r="H17" s="231"/>
      <c r="I17" s="231"/>
      <c r="J17" s="277"/>
      <c r="K17" s="335">
        <f t="shared" si="0"/>
        <v>0</v>
      </c>
      <c r="L17" s="335">
        <f t="shared" si="1"/>
        <v>0</v>
      </c>
    </row>
    <row r="18" spans="1:12" ht="15">
      <c r="A18" s="231"/>
      <c r="B18" s="231"/>
      <c r="C18" s="231"/>
      <c r="D18" s="231"/>
      <c r="E18" s="231"/>
      <c r="G18" s="231"/>
      <c r="H18" s="231"/>
      <c r="I18" s="231"/>
      <c r="J18" s="277"/>
      <c r="K18" s="335">
        <f t="shared" si="0"/>
        <v>0</v>
      </c>
      <c r="L18" s="335">
        <f t="shared" si="1"/>
        <v>0</v>
      </c>
    </row>
    <row r="23" ht="15" customHeight="1"/>
  </sheetData>
  <sheetProtection/>
  <mergeCells count="1">
    <mergeCell ref="A4:F4"/>
  </mergeCells>
  <hyperlinks>
    <hyperlink ref="D1" location="BG!A1" display="BG"/>
  </hyperlinks>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codeName="Hoja14"/>
  <dimension ref="A1:CX27"/>
  <sheetViews>
    <sheetView zoomScalePageLayoutView="0" workbookViewId="0" topLeftCell="A11">
      <pane xSplit="1" ySplit="6" topLeftCell="B20" activePane="bottomRight" state="frozen"/>
      <selection pane="topLeft" activeCell="A11" sqref="A11"/>
      <selection pane="topRight" activeCell="B11" sqref="B11"/>
      <selection pane="bottomLeft" activeCell="A17" sqref="A17"/>
      <selection pane="bottomRight" activeCell="L27" sqref="L27"/>
    </sheetView>
  </sheetViews>
  <sheetFormatPr defaultColWidth="11.421875" defaultRowHeight="15"/>
  <cols>
    <col min="1" max="1" width="27.00390625" style="154" customWidth="1"/>
    <col min="2" max="2" width="16.421875" style="154" customWidth="1"/>
    <col min="3" max="3" width="13.57421875" style="154" customWidth="1"/>
    <col min="4" max="5" width="11.421875" style="154" customWidth="1"/>
    <col min="6" max="6" width="13.8515625" style="154" customWidth="1"/>
    <col min="7" max="7" width="15.7109375" style="154" customWidth="1"/>
    <col min="8" max="8" width="16.00390625" style="154" customWidth="1"/>
    <col min="9" max="9" width="17.00390625" style="154" customWidth="1"/>
    <col min="10" max="10" width="14.28125" style="154" customWidth="1"/>
    <col min="11" max="11" width="16.8515625" style="154" customWidth="1"/>
    <col min="12" max="30" width="11.421875" style="154" customWidth="1"/>
  </cols>
  <sheetData>
    <row r="1" spans="1:12" ht="15">
      <c r="A1" s="159" t="str">
        <f>Indice!C1</f>
        <v>IMPORT CENTER S.A.</v>
      </c>
      <c r="L1" s="177" t="s">
        <v>129</v>
      </c>
    </row>
    <row r="5" ht="15">
      <c r="A5" s="159" t="s">
        <v>298</v>
      </c>
    </row>
    <row r="6" ht="15">
      <c r="A6" s="154" t="s">
        <v>299</v>
      </c>
    </row>
    <row r="7" ht="15">
      <c r="A7" s="154" t="s">
        <v>301</v>
      </c>
    </row>
    <row r="8" ht="15">
      <c r="A8" s="154" t="s">
        <v>302</v>
      </c>
    </row>
    <row r="9" ht="15">
      <c r="A9" s="154" t="s">
        <v>303</v>
      </c>
    </row>
    <row r="10" ht="15">
      <c r="A10" s="154" t="s">
        <v>300</v>
      </c>
    </row>
    <row r="12" spans="1:62" ht="24.75" customHeight="1">
      <c r="A12" s="744" t="s">
        <v>296</v>
      </c>
      <c r="B12" s="745"/>
      <c r="C12" s="745"/>
      <c r="D12" s="745"/>
      <c r="E12" s="745"/>
      <c r="F12" s="745"/>
      <c r="G12" s="745"/>
      <c r="H12" s="745"/>
      <c r="I12" s="745"/>
      <c r="J12" s="745"/>
      <c r="K12" s="745"/>
      <c r="L12" s="745"/>
      <c r="M12" s="746"/>
      <c r="N12" s="193"/>
      <c r="O12" s="193"/>
      <c r="P12" s="193"/>
      <c r="Q12" s="193"/>
      <c r="R12" s="193"/>
      <c r="S12" s="193"/>
      <c r="AE12" s="154"/>
      <c r="AF12" s="154"/>
      <c r="AG12" s="154"/>
      <c r="AH12" s="154"/>
      <c r="AI12" s="154"/>
      <c r="AJ12" s="154"/>
      <c r="AK12" s="154"/>
      <c r="AL12" s="154"/>
      <c r="AM12" s="154"/>
      <c r="AN12" s="154"/>
      <c r="AO12" s="154"/>
      <c r="AP12" s="154"/>
      <c r="AQ12" s="154"/>
      <c r="AR12" s="154"/>
      <c r="AS12" s="154"/>
      <c r="AT12" s="154"/>
      <c r="AU12" s="154"/>
      <c r="AV12" s="154"/>
      <c r="AW12" s="154"/>
      <c r="AX12" s="154"/>
      <c r="AY12" s="154"/>
      <c r="AZ12" s="154"/>
      <c r="BA12" s="154"/>
      <c r="BB12" s="154"/>
      <c r="BC12" s="154"/>
      <c r="BD12" s="154"/>
      <c r="BE12" s="154"/>
      <c r="BF12" s="154"/>
      <c r="BG12" s="154"/>
      <c r="BH12" s="154"/>
      <c r="BI12" s="154"/>
      <c r="BJ12" s="154"/>
    </row>
    <row r="13" spans="1:62" ht="15">
      <c r="A13" s="433" t="s">
        <v>227</v>
      </c>
      <c r="B13" s="193"/>
      <c r="C13" s="193"/>
      <c r="D13" s="193"/>
      <c r="E13" s="193"/>
      <c r="F13" s="193"/>
      <c r="G13" s="193"/>
      <c r="H13" s="193"/>
      <c r="I13" s="193"/>
      <c r="J13" s="194">
        <v>-1</v>
      </c>
      <c r="K13" s="193"/>
      <c r="L13" s="193"/>
      <c r="M13" s="193"/>
      <c r="N13" s="193"/>
      <c r="O13" s="193"/>
      <c r="P13" s="193"/>
      <c r="Q13" s="193"/>
      <c r="R13" s="193"/>
      <c r="S13" s="193"/>
      <c r="AE13" s="154"/>
      <c r="AF13" s="154"/>
      <c r="AG13" s="154"/>
      <c r="AH13" s="154"/>
      <c r="AI13" s="154"/>
      <c r="AJ13" s="154"/>
      <c r="AK13" s="154"/>
      <c r="AL13" s="154"/>
      <c r="AM13" s="154"/>
      <c r="AN13" s="154"/>
      <c r="AO13" s="154"/>
      <c r="AP13" s="154"/>
      <c r="AQ13" s="154"/>
      <c r="AR13" s="154"/>
      <c r="AS13" s="154"/>
      <c r="AT13" s="154"/>
      <c r="AU13" s="154"/>
      <c r="AV13" s="154"/>
      <c r="AW13" s="154"/>
      <c r="AX13" s="154"/>
      <c r="AY13" s="154"/>
      <c r="AZ13" s="154"/>
      <c r="BA13" s="154"/>
      <c r="BB13" s="154"/>
      <c r="BC13" s="154"/>
      <c r="BD13" s="154"/>
      <c r="BE13" s="154"/>
      <c r="BF13" s="154"/>
      <c r="BG13" s="154"/>
      <c r="BH13" s="154"/>
      <c r="BI13" s="154"/>
      <c r="BJ13" s="154"/>
    </row>
    <row r="14" spans="2:19" s="34" customFormat="1" ht="15">
      <c r="B14" s="432"/>
      <c r="C14" s="432"/>
      <c r="D14" s="432"/>
      <c r="E14" s="432"/>
      <c r="F14" s="432"/>
      <c r="G14" s="432"/>
      <c r="H14" s="432"/>
      <c r="I14" s="432"/>
      <c r="J14" s="432"/>
      <c r="K14" s="432"/>
      <c r="L14" s="432"/>
      <c r="M14" s="432"/>
      <c r="N14" s="192"/>
      <c r="O14" s="192"/>
      <c r="P14" s="192"/>
      <c r="Q14" s="192"/>
      <c r="R14" s="192"/>
      <c r="S14" s="192"/>
    </row>
    <row r="15" spans="1:102" s="191" customFormat="1" ht="55.5" customHeight="1">
      <c r="A15" s="436"/>
      <c r="B15" s="434" t="s">
        <v>211</v>
      </c>
      <c r="C15" s="434" t="s">
        <v>212</v>
      </c>
      <c r="D15" s="434" t="s">
        <v>61</v>
      </c>
      <c r="E15" s="434" t="s">
        <v>213</v>
      </c>
      <c r="F15" s="434" t="s">
        <v>214</v>
      </c>
      <c r="G15" s="434" t="s">
        <v>215</v>
      </c>
      <c r="H15" s="434" t="s">
        <v>216</v>
      </c>
      <c r="I15" s="434" t="s">
        <v>217</v>
      </c>
      <c r="J15" s="434" t="s">
        <v>218</v>
      </c>
      <c r="K15" s="434" t="s">
        <v>219</v>
      </c>
      <c r="L15" s="435" t="s">
        <v>455</v>
      </c>
      <c r="M15" s="439"/>
      <c r="N15" s="192"/>
      <c r="O15" s="192"/>
      <c r="P15" s="192"/>
      <c r="Q15" s="192"/>
      <c r="R15" s="192"/>
      <c r="S15" s="192"/>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4"/>
      <c r="CK15" s="34"/>
      <c r="CL15" s="34"/>
      <c r="CM15" s="34"/>
      <c r="CN15" s="34"/>
      <c r="CO15" s="34"/>
      <c r="CP15" s="34"/>
      <c r="CQ15" s="34"/>
      <c r="CR15" s="34"/>
      <c r="CS15" s="34"/>
      <c r="CT15" s="34"/>
      <c r="CU15" s="34"/>
      <c r="CV15" s="34"/>
      <c r="CW15" s="34"/>
      <c r="CX15" s="34"/>
    </row>
    <row r="16" spans="1:102" s="191" customFormat="1" ht="15">
      <c r="A16" s="437"/>
      <c r="B16" s="438"/>
      <c r="C16" s="438"/>
      <c r="D16" s="438"/>
      <c r="E16" s="438"/>
      <c r="F16" s="438"/>
      <c r="G16" s="438"/>
      <c r="H16" s="438"/>
      <c r="I16" s="438"/>
      <c r="J16" s="438"/>
      <c r="K16" s="438"/>
      <c r="L16" s="440">
        <f>_xlfn.IFERROR(IF(Indice!B6="","2XX2",YEAR(Indice!B6)),"2XX2")</f>
        <v>2021</v>
      </c>
      <c r="M16" s="441">
        <f>_xlfn.IFERROR(YEAR(Indice!B6-365),"2XX1")</f>
        <v>2020</v>
      </c>
      <c r="N16" s="192"/>
      <c r="O16" s="192"/>
      <c r="P16" s="192"/>
      <c r="Q16" s="192"/>
      <c r="R16" s="192"/>
      <c r="S16" s="192"/>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4"/>
      <c r="AZ16" s="34"/>
      <c r="BA16" s="34"/>
      <c r="BB16" s="34"/>
      <c r="BC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4"/>
      <c r="CK16" s="34"/>
      <c r="CL16" s="34"/>
      <c r="CM16" s="34"/>
      <c r="CN16" s="34"/>
      <c r="CO16" s="34"/>
      <c r="CP16" s="34"/>
      <c r="CQ16" s="34"/>
      <c r="CR16" s="34"/>
      <c r="CS16" s="34"/>
      <c r="CT16" s="34"/>
      <c r="CU16" s="34"/>
      <c r="CV16" s="34"/>
      <c r="CW16" s="34"/>
      <c r="CX16" s="34"/>
    </row>
    <row r="17" spans="1:62" ht="15">
      <c r="A17" s="195" t="s">
        <v>220</v>
      </c>
      <c r="B17" s="196">
        <v>316335</v>
      </c>
      <c r="C17" s="196">
        <v>67466</v>
      </c>
      <c r="D17" s="197"/>
      <c r="E17" s="198"/>
      <c r="F17" s="199">
        <f>B17+C17-D17+E17-1</f>
        <v>383800</v>
      </c>
      <c r="G17" s="199">
        <v>-206877</v>
      </c>
      <c r="H17" s="200">
        <v>-22490</v>
      </c>
      <c r="I17" s="198"/>
      <c r="J17" s="198"/>
      <c r="K17" s="537">
        <f aca="true" t="shared" si="0" ref="K17:K24">G17+H17</f>
        <v>-229367</v>
      </c>
      <c r="L17" s="198">
        <f>+F17+K17-2</f>
        <v>154431</v>
      </c>
      <c r="M17" s="200">
        <v>109456</v>
      </c>
      <c r="N17" s="202"/>
      <c r="O17" s="193"/>
      <c r="P17" s="193"/>
      <c r="Q17" s="193"/>
      <c r="R17" s="193"/>
      <c r="S17" s="193"/>
      <c r="AE17" s="154"/>
      <c r="AF17" s="154"/>
      <c r="AG17" s="154"/>
      <c r="AH17" s="154"/>
      <c r="AI17" s="154"/>
      <c r="AJ17" s="154"/>
      <c r="AK17" s="154"/>
      <c r="AL17" s="154"/>
      <c r="AM17" s="154"/>
      <c r="AN17" s="154"/>
      <c r="AO17" s="154"/>
      <c r="AP17" s="154"/>
      <c r="AQ17" s="154"/>
      <c r="AR17" s="154"/>
      <c r="AS17" s="154"/>
      <c r="AT17" s="154"/>
      <c r="AU17" s="154"/>
      <c r="AV17" s="154"/>
      <c r="AW17" s="154"/>
      <c r="AX17" s="154"/>
      <c r="AY17" s="154"/>
      <c r="AZ17" s="154"/>
      <c r="BA17" s="154"/>
      <c r="BB17" s="154"/>
      <c r="BC17" s="154"/>
      <c r="BD17" s="154"/>
      <c r="BE17" s="154"/>
      <c r="BF17" s="154"/>
      <c r="BG17" s="154"/>
      <c r="BH17" s="154"/>
      <c r="BI17" s="154"/>
      <c r="BJ17" s="154"/>
    </row>
    <row r="18" spans="1:62" ht="15">
      <c r="A18" s="195" t="s">
        <v>221</v>
      </c>
      <c r="B18" s="196">
        <v>2477433</v>
      </c>
      <c r="C18" s="198">
        <v>22045</v>
      </c>
      <c r="D18" s="203"/>
      <c r="E18" s="198"/>
      <c r="F18" s="199">
        <f aca="true" t="shared" si="1" ref="F18:F25">B18+C18-D18+E18</f>
        <v>2499478</v>
      </c>
      <c r="G18" s="199">
        <v>-2059483</v>
      </c>
      <c r="H18" s="200">
        <v>-167276</v>
      </c>
      <c r="I18" s="199"/>
      <c r="J18" s="198"/>
      <c r="K18" s="537">
        <f>G18+H18+1</f>
        <v>-2226758</v>
      </c>
      <c r="L18" s="198">
        <f>+F18+K18-1</f>
        <v>272719</v>
      </c>
      <c r="M18" s="200">
        <v>417948</v>
      </c>
      <c r="N18" s="193"/>
      <c r="O18" s="193"/>
      <c r="P18" s="193"/>
      <c r="Q18" s="193"/>
      <c r="R18" s="193"/>
      <c r="S18" s="193"/>
      <c r="AE18" s="154"/>
      <c r="AF18" s="154"/>
      <c r="AG18" s="154"/>
      <c r="AH18" s="154"/>
      <c r="AI18" s="154"/>
      <c r="AJ18" s="154"/>
      <c r="AK18" s="154"/>
      <c r="AL18" s="154"/>
      <c r="AM18" s="154"/>
      <c r="AN18" s="154"/>
      <c r="AO18" s="154"/>
      <c r="AP18" s="154"/>
      <c r="AQ18" s="154"/>
      <c r="AR18" s="154"/>
      <c r="AS18" s="154"/>
      <c r="AT18" s="154"/>
      <c r="AU18" s="154"/>
      <c r="AV18" s="154"/>
      <c r="AW18" s="154"/>
      <c r="AX18" s="154"/>
      <c r="AY18" s="154"/>
      <c r="AZ18" s="154"/>
      <c r="BA18" s="154"/>
      <c r="BB18" s="154"/>
      <c r="BC18" s="154"/>
      <c r="BD18" s="154"/>
      <c r="BE18" s="154"/>
      <c r="BF18" s="154"/>
      <c r="BG18" s="154"/>
      <c r="BH18" s="154"/>
      <c r="BI18" s="154"/>
      <c r="BJ18" s="154"/>
    </row>
    <row r="19" spans="1:62" ht="15">
      <c r="A19" s="195" t="s">
        <v>222</v>
      </c>
      <c r="B19" s="196">
        <v>490189</v>
      </c>
      <c r="C19" s="196">
        <v>12469</v>
      </c>
      <c r="D19" s="197"/>
      <c r="E19" s="198"/>
      <c r="F19" s="199">
        <f t="shared" si="1"/>
        <v>502658</v>
      </c>
      <c r="G19" s="199">
        <v>-434955</v>
      </c>
      <c r="H19" s="200">
        <v>-25850</v>
      </c>
      <c r="I19" s="198"/>
      <c r="J19" s="198"/>
      <c r="K19" s="537">
        <f>G19+H19-1</f>
        <v>-460806</v>
      </c>
      <c r="L19" s="198">
        <f aca="true" t="shared" si="2" ref="L19:L25">+F19+K19</f>
        <v>41852</v>
      </c>
      <c r="M19" s="200">
        <v>55236</v>
      </c>
      <c r="N19" s="193"/>
      <c r="O19" s="193"/>
      <c r="P19" s="193"/>
      <c r="Q19" s="193"/>
      <c r="R19" s="193"/>
      <c r="S19" s="193"/>
      <c r="AE19" s="154"/>
      <c r="AF19" s="154"/>
      <c r="AG19" s="154"/>
      <c r="AH19" s="154"/>
      <c r="AI19" s="154"/>
      <c r="AJ19" s="154"/>
      <c r="AK19" s="154"/>
      <c r="AL19" s="154"/>
      <c r="AM19" s="154"/>
      <c r="AN19" s="154"/>
      <c r="AO19" s="154"/>
      <c r="AP19" s="154"/>
      <c r="AQ19" s="154"/>
      <c r="AR19" s="154"/>
      <c r="AS19" s="154"/>
      <c r="AT19" s="154"/>
      <c r="AU19" s="154"/>
      <c r="AV19" s="154"/>
      <c r="AW19" s="154"/>
      <c r="AX19" s="154"/>
      <c r="AY19" s="154"/>
      <c r="AZ19" s="154"/>
      <c r="BA19" s="154"/>
      <c r="BB19" s="154"/>
      <c r="BC19" s="154"/>
      <c r="BD19" s="154"/>
      <c r="BE19" s="154"/>
      <c r="BF19" s="154"/>
      <c r="BG19" s="154"/>
      <c r="BH19" s="154"/>
      <c r="BI19" s="154"/>
      <c r="BJ19" s="154"/>
    </row>
    <row r="20" spans="1:62" ht="15">
      <c r="A20" s="195" t="s">
        <v>223</v>
      </c>
      <c r="B20" s="196">
        <v>474794</v>
      </c>
      <c r="C20" s="204">
        <v>9447</v>
      </c>
      <c r="D20" s="203"/>
      <c r="E20" s="198"/>
      <c r="F20" s="199">
        <f t="shared" si="1"/>
        <v>484241</v>
      </c>
      <c r="G20" s="199">
        <v>-458128</v>
      </c>
      <c r="H20" s="200">
        <v>-5587</v>
      </c>
      <c r="I20" s="199"/>
      <c r="J20" s="198"/>
      <c r="K20" s="537">
        <f t="shared" si="0"/>
        <v>-463715</v>
      </c>
      <c r="L20" s="198">
        <f>+F20+K20+1</f>
        <v>20527</v>
      </c>
      <c r="M20" s="200">
        <v>16664</v>
      </c>
      <c r="N20" s="193"/>
      <c r="O20" s="193"/>
      <c r="P20" s="193"/>
      <c r="Q20" s="193"/>
      <c r="R20" s="193"/>
      <c r="S20" s="193"/>
      <c r="AE20" s="154"/>
      <c r="AF20" s="154"/>
      <c r="AG20" s="154"/>
      <c r="AH20" s="154"/>
      <c r="AI20" s="154"/>
      <c r="AJ20" s="154"/>
      <c r="AK20" s="154"/>
      <c r="AL20" s="154"/>
      <c r="AM20" s="154"/>
      <c r="AN20" s="154"/>
      <c r="AO20" s="154"/>
      <c r="AP20" s="154"/>
      <c r="AQ20" s="154"/>
      <c r="AR20" s="154"/>
      <c r="AS20" s="154"/>
      <c r="AT20" s="154"/>
      <c r="AU20" s="154"/>
      <c r="AV20" s="154"/>
      <c r="AW20" s="154"/>
      <c r="AX20" s="154"/>
      <c r="AY20" s="154"/>
      <c r="AZ20" s="154"/>
      <c r="BA20" s="154"/>
      <c r="BB20" s="154"/>
      <c r="BC20" s="154"/>
      <c r="BD20" s="154"/>
      <c r="BE20" s="154"/>
      <c r="BF20" s="154"/>
      <c r="BG20" s="154"/>
      <c r="BH20" s="154"/>
      <c r="BI20" s="154"/>
      <c r="BJ20" s="154"/>
    </row>
    <row r="21" spans="1:62" ht="15">
      <c r="A21" s="195" t="s">
        <v>224</v>
      </c>
      <c r="B21" s="196"/>
      <c r="C21" s="196"/>
      <c r="D21" s="197"/>
      <c r="E21" s="198"/>
      <c r="F21" s="199">
        <f t="shared" si="1"/>
        <v>0</v>
      </c>
      <c r="G21" s="199"/>
      <c r="H21" s="200"/>
      <c r="I21" s="198"/>
      <c r="J21" s="198"/>
      <c r="K21" s="537">
        <f t="shared" si="0"/>
        <v>0</v>
      </c>
      <c r="L21" s="198">
        <f t="shared" si="2"/>
        <v>0</v>
      </c>
      <c r="M21" s="200">
        <v>0</v>
      </c>
      <c r="N21" s="193"/>
      <c r="O21" s="193"/>
      <c r="P21" s="193"/>
      <c r="Q21" s="193"/>
      <c r="R21" s="193"/>
      <c r="S21" s="193"/>
      <c r="AE21" s="154"/>
      <c r="AF21" s="154"/>
      <c r="AG21" s="154"/>
      <c r="AH21" s="154"/>
      <c r="AI21" s="154"/>
      <c r="AJ21" s="154"/>
      <c r="AK21" s="154"/>
      <c r="AL21" s="154"/>
      <c r="AM21" s="154"/>
      <c r="AN21" s="154"/>
      <c r="AO21" s="154"/>
      <c r="AP21" s="154"/>
      <c r="AQ21" s="154"/>
      <c r="AR21" s="154"/>
      <c r="AS21" s="154"/>
      <c r="AT21" s="154"/>
      <c r="AU21" s="154"/>
      <c r="AV21" s="154"/>
      <c r="AW21" s="154"/>
      <c r="AX21" s="154"/>
      <c r="AY21" s="154"/>
      <c r="AZ21" s="154"/>
      <c r="BA21" s="154"/>
      <c r="BB21" s="154"/>
      <c r="BC21" s="154"/>
      <c r="BD21" s="154"/>
      <c r="BE21" s="154"/>
      <c r="BF21" s="154"/>
      <c r="BG21" s="154"/>
      <c r="BH21" s="154"/>
      <c r="BI21" s="154"/>
      <c r="BJ21" s="154"/>
    </row>
    <row r="22" spans="1:62" ht="15">
      <c r="A22" s="195" t="s">
        <v>225</v>
      </c>
      <c r="B22" s="196">
        <v>782921</v>
      </c>
      <c r="C22" s="198">
        <v>3635</v>
      </c>
      <c r="D22" s="203"/>
      <c r="E22" s="198"/>
      <c r="F22" s="199">
        <f>B22+C22-D22+E22-1</f>
        <v>786555</v>
      </c>
      <c r="G22" s="199">
        <v>-757301</v>
      </c>
      <c r="H22" s="200">
        <v>-9311</v>
      </c>
      <c r="I22" s="199"/>
      <c r="J22" s="198"/>
      <c r="K22" s="537">
        <f>G22+H22-2+6</f>
        <v>-766608</v>
      </c>
      <c r="L22" s="198">
        <f>+F22+K22+3</f>
        <v>19950</v>
      </c>
      <c r="M22" s="200">
        <v>25626</v>
      </c>
      <c r="N22" s="193"/>
      <c r="O22" s="193"/>
      <c r="P22" s="193"/>
      <c r="Q22" s="193"/>
      <c r="R22" s="193"/>
      <c r="S22" s="193"/>
      <c r="AE22" s="154"/>
      <c r="AF22" s="154"/>
      <c r="AG22" s="154"/>
      <c r="AH22" s="154"/>
      <c r="AI22" s="154"/>
      <c r="AJ22" s="154"/>
      <c r="AK22" s="154"/>
      <c r="AL22" s="154"/>
      <c r="AM22" s="154"/>
      <c r="AN22" s="154"/>
      <c r="AO22" s="154"/>
      <c r="AP22" s="154"/>
      <c r="AQ22" s="154"/>
      <c r="AR22" s="154"/>
      <c r="AS22" s="154"/>
      <c r="AT22" s="154"/>
      <c r="AU22" s="154"/>
      <c r="AV22" s="154"/>
      <c r="AW22" s="154"/>
      <c r="AX22" s="154"/>
      <c r="AY22" s="154"/>
      <c r="AZ22" s="154"/>
      <c r="BA22" s="154"/>
      <c r="BB22" s="154"/>
      <c r="BC22" s="154"/>
      <c r="BD22" s="154"/>
      <c r="BE22" s="154"/>
      <c r="BF22" s="154"/>
      <c r="BG22" s="154"/>
      <c r="BH22" s="154"/>
      <c r="BI22" s="154"/>
      <c r="BJ22" s="154"/>
    </row>
    <row r="23" spans="1:62" ht="15">
      <c r="A23" s="195" t="s">
        <v>226</v>
      </c>
      <c r="B23" s="196"/>
      <c r="C23" s="196"/>
      <c r="D23" s="197"/>
      <c r="E23" s="198"/>
      <c r="F23" s="199">
        <f t="shared" si="1"/>
        <v>0</v>
      </c>
      <c r="G23" s="199"/>
      <c r="H23" s="200"/>
      <c r="I23" s="198"/>
      <c r="J23" s="198"/>
      <c r="K23" s="537">
        <f t="shared" si="0"/>
        <v>0</v>
      </c>
      <c r="L23" s="198">
        <f t="shared" si="2"/>
        <v>0</v>
      </c>
      <c r="M23" s="200"/>
      <c r="N23" s="193"/>
      <c r="O23" s="193"/>
      <c r="P23" s="193"/>
      <c r="Q23" s="193"/>
      <c r="R23" s="193"/>
      <c r="S23" s="193"/>
      <c r="AE23" s="154"/>
      <c r="AF23" s="154"/>
      <c r="AG23" s="154"/>
      <c r="AH23" s="154"/>
      <c r="AI23" s="154"/>
      <c r="AJ23" s="154"/>
      <c r="AK23" s="154"/>
      <c r="AL23" s="154"/>
      <c r="AM23" s="154"/>
      <c r="AN23" s="154"/>
      <c r="AO23" s="154"/>
      <c r="AP23" s="154"/>
      <c r="AQ23" s="154"/>
      <c r="AR23" s="154"/>
      <c r="AS23" s="154"/>
      <c r="AT23" s="154"/>
      <c r="AU23" s="154"/>
      <c r="AV23" s="154"/>
      <c r="AW23" s="154"/>
      <c r="AX23" s="154"/>
      <c r="AY23" s="154"/>
      <c r="AZ23" s="154"/>
      <c r="BA23" s="154"/>
      <c r="BB23" s="154"/>
      <c r="BC23" s="154"/>
      <c r="BD23" s="154"/>
      <c r="BE23" s="154"/>
      <c r="BF23" s="154"/>
      <c r="BG23" s="154"/>
      <c r="BH23" s="154"/>
      <c r="BI23" s="154"/>
      <c r="BJ23" s="154"/>
    </row>
    <row r="24" spans="1:62" s="476" customFormat="1" ht="15">
      <c r="A24" s="195" t="s">
        <v>922</v>
      </c>
      <c r="B24" s="196">
        <v>6444061</v>
      </c>
      <c r="C24" s="196"/>
      <c r="D24" s="197"/>
      <c r="E24" s="198"/>
      <c r="F24" s="199">
        <f t="shared" si="1"/>
        <v>6444061</v>
      </c>
      <c r="G24" s="199"/>
      <c r="H24" s="200"/>
      <c r="I24" s="199"/>
      <c r="J24" s="198"/>
      <c r="K24" s="537">
        <f t="shared" si="0"/>
        <v>0</v>
      </c>
      <c r="L24" s="198">
        <f>+F24</f>
        <v>6444061</v>
      </c>
      <c r="M24" s="200">
        <v>6444061</v>
      </c>
      <c r="N24" s="193"/>
      <c r="O24" s="193"/>
      <c r="P24" s="193"/>
      <c r="Q24" s="193"/>
      <c r="R24" s="193"/>
      <c r="S24" s="193"/>
      <c r="T24" s="154"/>
      <c r="U24" s="154"/>
      <c r="V24" s="154"/>
      <c r="W24" s="154"/>
      <c r="X24" s="154"/>
      <c r="Y24" s="154"/>
      <c r="Z24" s="154"/>
      <c r="AA24" s="154"/>
      <c r="AB24" s="154"/>
      <c r="AC24" s="154"/>
      <c r="AD24" s="154"/>
      <c r="AE24" s="154"/>
      <c r="AF24" s="154"/>
      <c r="AG24" s="154"/>
      <c r="AH24" s="154"/>
      <c r="AI24" s="154"/>
      <c r="AJ24" s="154"/>
      <c r="AK24" s="154"/>
      <c r="AL24" s="154"/>
      <c r="AM24" s="154"/>
      <c r="AN24" s="154"/>
      <c r="AO24" s="154"/>
      <c r="AP24" s="154"/>
      <c r="AQ24" s="154"/>
      <c r="AR24" s="154"/>
      <c r="AS24" s="154"/>
      <c r="AT24" s="154"/>
      <c r="AU24" s="154"/>
      <c r="AV24" s="154"/>
      <c r="AW24" s="154"/>
      <c r="AX24" s="154"/>
      <c r="AY24" s="154"/>
      <c r="AZ24" s="154"/>
      <c r="BA24" s="154"/>
      <c r="BB24" s="154"/>
      <c r="BC24" s="154"/>
      <c r="BD24" s="154"/>
      <c r="BE24" s="154"/>
      <c r="BF24" s="154"/>
      <c r="BG24" s="154"/>
      <c r="BH24" s="154"/>
      <c r="BI24" s="154"/>
      <c r="BJ24" s="154"/>
    </row>
    <row r="25" spans="1:62" s="476" customFormat="1" ht="15">
      <c r="A25" s="195" t="s">
        <v>923</v>
      </c>
      <c r="B25" s="196">
        <v>11291506</v>
      </c>
      <c r="C25" s="196"/>
      <c r="D25" s="197"/>
      <c r="E25" s="198"/>
      <c r="F25" s="199">
        <f t="shared" si="1"/>
        <v>11291506</v>
      </c>
      <c r="G25" s="199">
        <v>-4334896</v>
      </c>
      <c r="H25" s="200">
        <v>-272365</v>
      </c>
      <c r="I25" s="199"/>
      <c r="J25" s="198"/>
      <c r="K25" s="537">
        <f>G25+H25</f>
        <v>-4607261</v>
      </c>
      <c r="L25" s="198">
        <f t="shared" si="2"/>
        <v>6684245</v>
      </c>
      <c r="M25" s="200">
        <v>6956610</v>
      </c>
      <c r="N25" s="193"/>
      <c r="O25" s="193"/>
      <c r="P25" s="193"/>
      <c r="Q25" s="193"/>
      <c r="R25" s="193"/>
      <c r="S25" s="193"/>
      <c r="T25" s="154"/>
      <c r="U25" s="154"/>
      <c r="V25" s="154"/>
      <c r="W25" s="154"/>
      <c r="X25" s="154"/>
      <c r="Y25" s="154"/>
      <c r="Z25" s="154"/>
      <c r="AA25" s="154"/>
      <c r="AB25" s="154"/>
      <c r="AC25" s="154"/>
      <c r="AD25" s="154"/>
      <c r="AE25" s="154"/>
      <c r="AF25" s="154"/>
      <c r="AG25" s="154"/>
      <c r="AH25" s="154"/>
      <c r="AI25" s="154"/>
      <c r="AJ25" s="154"/>
      <c r="AK25" s="154"/>
      <c r="AL25" s="154"/>
      <c r="AM25" s="154"/>
      <c r="AN25" s="154"/>
      <c r="AO25" s="154"/>
      <c r="AP25" s="154"/>
      <c r="AQ25" s="154"/>
      <c r="AR25" s="154"/>
      <c r="AS25" s="154"/>
      <c r="AT25" s="154"/>
      <c r="AU25" s="154"/>
      <c r="AV25" s="154"/>
      <c r="AW25" s="154"/>
      <c r="AX25" s="154"/>
      <c r="AY25" s="154"/>
      <c r="AZ25" s="154"/>
      <c r="BA25" s="154"/>
      <c r="BB25" s="154"/>
      <c r="BC25" s="154"/>
      <c r="BD25" s="154"/>
      <c r="BE25" s="154"/>
      <c r="BF25" s="154"/>
      <c r="BG25" s="154"/>
      <c r="BH25" s="154"/>
      <c r="BI25" s="154"/>
      <c r="BJ25" s="154"/>
    </row>
    <row r="26" spans="1:62" ht="15">
      <c r="A26" s="195" t="s">
        <v>66</v>
      </c>
      <c r="B26" s="196"/>
      <c r="C26" s="198"/>
      <c r="D26" s="203"/>
      <c r="E26" s="198"/>
      <c r="F26" s="199"/>
      <c r="G26" s="199"/>
      <c r="H26" s="200"/>
      <c r="I26" s="199"/>
      <c r="J26" s="198"/>
      <c r="K26" s="201"/>
      <c r="L26" s="198"/>
      <c r="M26" s="200"/>
      <c r="N26" s="193"/>
      <c r="O26" s="193"/>
      <c r="P26" s="193"/>
      <c r="Q26" s="193"/>
      <c r="R26" s="193"/>
      <c r="S26" s="193"/>
      <c r="AE26" s="154"/>
      <c r="AF26" s="154"/>
      <c r="AG26" s="154"/>
      <c r="AH26" s="154"/>
      <c r="AI26" s="154"/>
      <c r="AJ26" s="154"/>
      <c r="AK26" s="154"/>
      <c r="AL26" s="154"/>
      <c r="AM26" s="154"/>
      <c r="AN26" s="154"/>
      <c r="AO26" s="154"/>
      <c r="AP26" s="154"/>
      <c r="AQ26" s="154"/>
      <c r="AR26" s="154"/>
      <c r="AS26" s="154"/>
      <c r="AT26" s="154"/>
      <c r="AU26" s="154"/>
      <c r="AV26" s="154"/>
      <c r="AW26" s="154"/>
      <c r="AX26" s="154"/>
      <c r="AY26" s="154"/>
      <c r="AZ26" s="154"/>
      <c r="BA26" s="154"/>
      <c r="BB26" s="154"/>
      <c r="BC26" s="154"/>
      <c r="BD26" s="154"/>
      <c r="BE26" s="154"/>
      <c r="BF26" s="154"/>
      <c r="BG26" s="154"/>
      <c r="BH26" s="154"/>
      <c r="BI26" s="154"/>
      <c r="BJ26" s="154"/>
    </row>
    <row r="27" spans="1:62" ht="15">
      <c r="A27" s="140" t="s">
        <v>297</v>
      </c>
      <c r="B27" s="141">
        <f>SUM(B17:B26)+1+1</f>
        <v>22277241</v>
      </c>
      <c r="C27" s="141">
        <f>SUM(C17:C26)</f>
        <v>115062</v>
      </c>
      <c r="D27" s="141"/>
      <c r="E27" s="142"/>
      <c r="F27" s="141">
        <f>SUM(F17:F26)</f>
        <v>22392299</v>
      </c>
      <c r="G27" s="141">
        <f>SUM(G17:G26)</f>
        <v>-8251640</v>
      </c>
      <c r="H27" s="141">
        <f>SUM(H17:H26)</f>
        <v>-502879</v>
      </c>
      <c r="I27" s="141"/>
      <c r="J27" s="141"/>
      <c r="K27" s="141">
        <f>SUM(K17:K26)-2</f>
        <v>-8754517</v>
      </c>
      <c r="L27" s="141">
        <f>SUM(L17:L26)</f>
        <v>13637785</v>
      </c>
      <c r="M27" s="141">
        <f>SUM(M17:M26)</f>
        <v>14025601</v>
      </c>
      <c r="N27" s="193"/>
      <c r="O27" s="193"/>
      <c r="P27" s="193"/>
      <c r="Q27" s="193"/>
      <c r="R27" s="193"/>
      <c r="S27" s="193"/>
      <c r="AE27" s="154"/>
      <c r="AF27" s="154"/>
      <c r="AG27" s="154"/>
      <c r="AH27" s="154"/>
      <c r="AI27" s="154"/>
      <c r="AJ27" s="154"/>
      <c r="AK27" s="154"/>
      <c r="AL27" s="154"/>
      <c r="AM27" s="154"/>
      <c r="AN27" s="154"/>
      <c r="AO27" s="154"/>
      <c r="AP27" s="154"/>
      <c r="AQ27" s="154"/>
      <c r="AR27" s="154"/>
      <c r="AS27" s="154"/>
      <c r="AT27" s="154"/>
      <c r="AU27" s="154"/>
      <c r="AV27" s="154"/>
      <c r="AW27" s="154"/>
      <c r="AX27" s="154"/>
      <c r="AY27" s="154"/>
      <c r="AZ27" s="154"/>
      <c r="BA27" s="154"/>
      <c r="BB27" s="154"/>
      <c r="BC27" s="154"/>
      <c r="BD27" s="154"/>
      <c r="BE27" s="154"/>
      <c r="BF27" s="154"/>
      <c r="BG27" s="154"/>
      <c r="BH27" s="154"/>
      <c r="BI27" s="154"/>
      <c r="BJ27" s="154"/>
    </row>
  </sheetData>
  <sheetProtection/>
  <mergeCells count="1">
    <mergeCell ref="A12:M12"/>
  </mergeCells>
  <hyperlinks>
    <hyperlink ref="L1" location="BG!A1" display="BG"/>
  </hyperlink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sheetPr codeName="Hoja15"/>
  <dimension ref="A1:IV19"/>
  <sheetViews>
    <sheetView showGridLines="0" zoomScalePageLayoutView="0" workbookViewId="0" topLeftCell="A1">
      <selection activeCell="A3" sqref="A3:IV4"/>
    </sheetView>
  </sheetViews>
  <sheetFormatPr defaultColWidth="11.421875" defaultRowHeight="15"/>
  <cols>
    <col min="1" max="1" width="34.140625" style="0" customWidth="1"/>
    <col min="2" max="3" width="22.7109375" style="0" customWidth="1"/>
  </cols>
  <sheetData>
    <row r="1" spans="1:3" ht="15">
      <c r="A1" t="str">
        <f>Indice!C1</f>
        <v>IMPORT CENTER S.A.</v>
      </c>
      <c r="C1" s="176" t="s">
        <v>129</v>
      </c>
    </row>
    <row r="4" spans="1:256" ht="15">
      <c r="A4" s="337" t="s">
        <v>304</v>
      </c>
      <c r="B4" s="337"/>
      <c r="C4" s="337"/>
      <c r="D4" s="337"/>
      <c r="E4" s="747"/>
      <c r="F4" s="747"/>
      <c r="G4" s="747"/>
      <c r="H4" s="747"/>
      <c r="I4" s="747"/>
      <c r="J4" s="747"/>
      <c r="K4" s="747"/>
      <c r="L4" s="747"/>
      <c r="M4" s="747"/>
      <c r="N4" s="747"/>
      <c r="O4" s="747"/>
      <c r="P4" s="747"/>
      <c r="Q4" s="747"/>
      <c r="R4" s="747"/>
      <c r="S4" s="747"/>
      <c r="T4" s="747"/>
      <c r="U4" s="747"/>
      <c r="V4" s="747"/>
      <c r="W4" s="747"/>
      <c r="X4" s="747"/>
      <c r="Y4" s="747"/>
      <c r="Z4" s="747"/>
      <c r="AA4" s="747"/>
      <c r="AB4" s="747"/>
      <c r="AC4" s="747"/>
      <c r="AD4" s="747"/>
      <c r="AE4" s="747"/>
      <c r="AF4" s="747"/>
      <c r="AG4" s="747"/>
      <c r="AH4" s="747"/>
      <c r="AI4" s="747"/>
      <c r="AJ4" s="747"/>
      <c r="AK4" s="747"/>
      <c r="AL4" s="747"/>
      <c r="AM4" s="747"/>
      <c r="AN4" s="747"/>
      <c r="AO4" s="747"/>
      <c r="AP4" s="747"/>
      <c r="AQ4" s="747"/>
      <c r="AR4" s="747"/>
      <c r="AS4" s="747"/>
      <c r="AT4" s="747"/>
      <c r="AU4" s="747"/>
      <c r="AV4" s="747"/>
      <c r="AW4" s="747"/>
      <c r="AX4" s="747"/>
      <c r="AY4" s="747"/>
      <c r="AZ4" s="747"/>
      <c r="BA4" s="747"/>
      <c r="BB4" s="747"/>
      <c r="BC4" s="747"/>
      <c r="BD4" s="747"/>
      <c r="BE4" s="747"/>
      <c r="BF4" s="747"/>
      <c r="BG4" s="747"/>
      <c r="BH4" s="747"/>
      <c r="BI4" s="747"/>
      <c r="BJ4" s="747"/>
      <c r="BK4" s="747"/>
      <c r="BL4" s="747"/>
      <c r="BM4" s="747"/>
      <c r="BN4" s="747"/>
      <c r="BO4" s="747"/>
      <c r="BP4" s="747"/>
      <c r="BQ4" s="747"/>
      <c r="BR4" s="747"/>
      <c r="BS4" s="747"/>
      <c r="BT4" s="747"/>
      <c r="BU4" s="747"/>
      <c r="BV4" s="747"/>
      <c r="BW4" s="747"/>
      <c r="BX4" s="747"/>
      <c r="BY4" s="747"/>
      <c r="BZ4" s="747"/>
      <c r="CA4" s="747"/>
      <c r="CB4" s="747"/>
      <c r="CC4" s="747"/>
      <c r="CD4" s="747"/>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7"/>
      <c r="ED4" s="747"/>
      <c r="EE4" s="747"/>
      <c r="EF4" s="747"/>
      <c r="EG4" s="747"/>
      <c r="EH4" s="747"/>
      <c r="EI4" s="747"/>
      <c r="EJ4" s="747"/>
      <c r="EK4" s="747"/>
      <c r="EL4" s="747"/>
      <c r="EM4" s="747"/>
      <c r="EN4" s="747"/>
      <c r="EO4" s="747"/>
      <c r="EP4" s="747"/>
      <c r="EQ4" s="747"/>
      <c r="ER4" s="747"/>
      <c r="ES4" s="747"/>
      <c r="ET4" s="747"/>
      <c r="EU4" s="747"/>
      <c r="EV4" s="747"/>
      <c r="EW4" s="747"/>
      <c r="EX4" s="747"/>
      <c r="EY4" s="747"/>
      <c r="EZ4" s="747"/>
      <c r="FA4" s="747"/>
      <c r="FB4" s="747"/>
      <c r="FC4" s="747"/>
      <c r="FD4" s="747"/>
      <c r="FE4" s="747"/>
      <c r="FF4" s="747"/>
      <c r="FG4" s="747"/>
      <c r="FH4" s="747"/>
      <c r="FI4" s="747"/>
      <c r="FJ4" s="747"/>
      <c r="FK4" s="747"/>
      <c r="FL4" s="747"/>
      <c r="FM4" s="747"/>
      <c r="FN4" s="747"/>
      <c r="FO4" s="747"/>
      <c r="FP4" s="747"/>
      <c r="FQ4" s="747"/>
      <c r="FR4" s="747"/>
      <c r="FS4" s="747"/>
      <c r="FT4" s="747"/>
      <c r="FU4" s="747"/>
      <c r="FV4" s="747"/>
      <c r="FW4" s="747"/>
      <c r="FX4" s="747"/>
      <c r="FY4" s="747"/>
      <c r="FZ4" s="747"/>
      <c r="GA4" s="747"/>
      <c r="GB4" s="747"/>
      <c r="GC4" s="747"/>
      <c r="GD4" s="747"/>
      <c r="GE4" s="747"/>
      <c r="GF4" s="747"/>
      <c r="GG4" s="747"/>
      <c r="GH4" s="747"/>
      <c r="GI4" s="747"/>
      <c r="GJ4" s="747"/>
      <c r="GK4" s="747"/>
      <c r="GL4" s="747"/>
      <c r="GM4" s="747"/>
      <c r="GN4" s="747"/>
      <c r="GO4" s="747"/>
      <c r="GP4" s="747"/>
      <c r="GQ4" s="747"/>
      <c r="GR4" s="747"/>
      <c r="GS4" s="747"/>
      <c r="GT4" s="747"/>
      <c r="GU4" s="747"/>
      <c r="GV4" s="747"/>
      <c r="GW4" s="747"/>
      <c r="GX4" s="747"/>
      <c r="GY4" s="747"/>
      <c r="GZ4" s="747"/>
      <c r="HA4" s="747"/>
      <c r="HB4" s="747"/>
      <c r="HC4" s="747"/>
      <c r="HD4" s="747"/>
      <c r="HE4" s="747"/>
      <c r="HF4" s="747"/>
      <c r="HG4" s="747"/>
      <c r="HH4" s="747"/>
      <c r="HI4" s="747"/>
      <c r="HJ4" s="747"/>
      <c r="HK4" s="747"/>
      <c r="HL4" s="747"/>
      <c r="HM4" s="747"/>
      <c r="HN4" s="747"/>
      <c r="HO4" s="747"/>
      <c r="HP4" s="747"/>
      <c r="HQ4" s="747"/>
      <c r="HR4" s="747"/>
      <c r="HS4" s="747"/>
      <c r="HT4" s="747"/>
      <c r="HU4" s="747"/>
      <c r="HV4" s="747"/>
      <c r="HW4" s="747"/>
      <c r="HX4" s="747"/>
      <c r="HY4" s="747"/>
      <c r="HZ4" s="747"/>
      <c r="IA4" s="747"/>
      <c r="IB4" s="747"/>
      <c r="IC4" s="747"/>
      <c r="ID4" s="747"/>
      <c r="IE4" s="747"/>
      <c r="IF4" s="747"/>
      <c r="IG4" s="747"/>
      <c r="IH4" s="747"/>
      <c r="II4" s="747"/>
      <c r="IJ4" s="747"/>
      <c r="IK4" s="747"/>
      <c r="IL4" s="747"/>
      <c r="IM4" s="747"/>
      <c r="IN4" s="747"/>
      <c r="IO4" s="747"/>
      <c r="IP4" s="747"/>
      <c r="IQ4" s="747"/>
      <c r="IR4" s="747"/>
      <c r="IS4" s="747"/>
      <c r="IT4" s="747"/>
      <c r="IU4" s="747"/>
      <c r="IV4" s="747"/>
    </row>
    <row r="5" spans="2:3" ht="15">
      <c r="B5" s="739" t="s">
        <v>293</v>
      </c>
      <c r="C5" s="739"/>
    </row>
    <row r="6" spans="1:4" ht="15.75" customHeight="1">
      <c r="A6" s="166"/>
      <c r="B6" s="427">
        <f>_xlfn.IFERROR(IF(Indice!B6="","2XX2",YEAR(Indice!B6)),"2XX2")</f>
        <v>2021</v>
      </c>
      <c r="C6" s="427">
        <f>_xlfn.IFERROR(YEAR(Indice!B6-365),"2XX1")</f>
        <v>2020</v>
      </c>
      <c r="D6" s="166"/>
    </row>
    <row r="7" spans="1:4" ht="15" customHeight="1">
      <c r="A7" s="168" t="s">
        <v>121</v>
      </c>
      <c r="B7" s="12"/>
      <c r="C7" s="12"/>
      <c r="D7" s="12"/>
    </row>
    <row r="8" spans="1:256" ht="15" customHeight="1">
      <c r="A8" s="58" t="s">
        <v>124</v>
      </c>
      <c r="B8" s="58"/>
      <c r="C8" s="58"/>
      <c r="D8" s="58"/>
      <c r="E8" s="731"/>
      <c r="F8" s="731"/>
      <c r="G8" s="731"/>
      <c r="H8" s="731"/>
      <c r="I8" s="731"/>
      <c r="J8" s="731"/>
      <c r="K8" s="731"/>
      <c r="L8" s="731"/>
      <c r="M8" s="731"/>
      <c r="N8" s="731"/>
      <c r="O8" s="731"/>
      <c r="P8" s="731"/>
      <c r="Q8" s="731"/>
      <c r="R8" s="731"/>
      <c r="S8" s="731"/>
      <c r="T8" s="731"/>
      <c r="U8" s="731"/>
      <c r="V8" s="731"/>
      <c r="W8" s="731"/>
      <c r="X8" s="731"/>
      <c r="Y8" s="731"/>
      <c r="Z8" s="731"/>
      <c r="AA8" s="731"/>
      <c r="AB8" s="731"/>
      <c r="AC8" s="731"/>
      <c r="AD8" s="731"/>
      <c r="AE8" s="731"/>
      <c r="AF8" s="731"/>
      <c r="AG8" s="731"/>
      <c r="AH8" s="731"/>
      <c r="AI8" s="731"/>
      <c r="AJ8" s="731"/>
      <c r="AK8" s="731"/>
      <c r="AL8" s="731"/>
      <c r="AM8" s="731"/>
      <c r="AN8" s="731"/>
      <c r="AO8" s="731"/>
      <c r="AP8" s="731"/>
      <c r="AQ8" s="731"/>
      <c r="AR8" s="731"/>
      <c r="AS8" s="731"/>
      <c r="AT8" s="731"/>
      <c r="AU8" s="731"/>
      <c r="AV8" s="731"/>
      <c r="AW8" s="731"/>
      <c r="AX8" s="731"/>
      <c r="AY8" s="731"/>
      <c r="AZ8" s="731"/>
      <c r="BA8" s="731"/>
      <c r="BB8" s="731"/>
      <c r="BC8" s="731"/>
      <c r="BD8" s="731"/>
      <c r="BE8" s="731"/>
      <c r="BF8" s="731"/>
      <c r="BG8" s="731"/>
      <c r="BH8" s="731"/>
      <c r="BI8" s="731"/>
      <c r="BJ8" s="731"/>
      <c r="BK8" s="731"/>
      <c r="BL8" s="731"/>
      <c r="BM8" s="731"/>
      <c r="BN8" s="731"/>
      <c r="BO8" s="731"/>
      <c r="BP8" s="731"/>
      <c r="BQ8" s="731"/>
      <c r="BR8" s="731"/>
      <c r="BS8" s="731"/>
      <c r="BT8" s="731"/>
      <c r="BU8" s="731"/>
      <c r="BV8" s="731"/>
      <c r="BW8" s="731"/>
      <c r="BX8" s="731"/>
      <c r="BY8" s="731"/>
      <c r="BZ8" s="731"/>
      <c r="CA8" s="731"/>
      <c r="CB8" s="731"/>
      <c r="CC8" s="731"/>
      <c r="CD8" s="731"/>
      <c r="CE8" s="731"/>
      <c r="CF8" s="731"/>
      <c r="CG8" s="731"/>
      <c r="CH8" s="731"/>
      <c r="CI8" s="731"/>
      <c r="CJ8" s="731"/>
      <c r="CK8" s="731"/>
      <c r="CL8" s="731"/>
      <c r="CM8" s="731"/>
      <c r="CN8" s="731"/>
      <c r="CO8" s="731"/>
      <c r="CP8" s="731"/>
      <c r="CQ8" s="731"/>
      <c r="CR8" s="731"/>
      <c r="CS8" s="731"/>
      <c r="CT8" s="731"/>
      <c r="CU8" s="731"/>
      <c r="CV8" s="731"/>
      <c r="CW8" s="731"/>
      <c r="CX8" s="731"/>
      <c r="CY8" s="731"/>
      <c r="CZ8" s="731"/>
      <c r="DA8" s="731"/>
      <c r="DB8" s="731"/>
      <c r="DC8" s="731"/>
      <c r="DD8" s="731"/>
      <c r="DE8" s="731"/>
      <c r="DF8" s="731"/>
      <c r="DG8" s="731"/>
      <c r="DH8" s="731"/>
      <c r="DI8" s="731"/>
      <c r="DJ8" s="731"/>
      <c r="DK8" s="731"/>
      <c r="DL8" s="731"/>
      <c r="DM8" s="731"/>
      <c r="DN8" s="731"/>
      <c r="DO8" s="731"/>
      <c r="DP8" s="731"/>
      <c r="DQ8" s="731"/>
      <c r="DR8" s="731"/>
      <c r="DS8" s="731"/>
      <c r="DT8" s="731"/>
      <c r="DU8" s="731"/>
      <c r="DV8" s="731"/>
      <c r="DW8" s="731"/>
      <c r="DX8" s="731"/>
      <c r="DY8" s="731"/>
      <c r="DZ8" s="731"/>
      <c r="EA8" s="731"/>
      <c r="EB8" s="731"/>
      <c r="EC8" s="731"/>
      <c r="ED8" s="731"/>
      <c r="EE8" s="731"/>
      <c r="EF8" s="731"/>
      <c r="EG8" s="731"/>
      <c r="EH8" s="731"/>
      <c r="EI8" s="731"/>
      <c r="EJ8" s="731"/>
      <c r="EK8" s="731"/>
      <c r="EL8" s="731"/>
      <c r="EM8" s="731"/>
      <c r="EN8" s="731"/>
      <c r="EO8" s="731"/>
      <c r="EP8" s="731"/>
      <c r="EQ8" s="731"/>
      <c r="ER8" s="731"/>
      <c r="ES8" s="731"/>
      <c r="ET8" s="731"/>
      <c r="EU8" s="731"/>
      <c r="EV8" s="731"/>
      <c r="EW8" s="731"/>
      <c r="EX8" s="731"/>
      <c r="EY8" s="731"/>
      <c r="EZ8" s="731"/>
      <c r="FA8" s="731"/>
      <c r="FB8" s="731"/>
      <c r="FC8" s="731"/>
      <c r="FD8" s="731"/>
      <c r="FE8" s="731"/>
      <c r="FF8" s="731"/>
      <c r="FG8" s="731"/>
      <c r="FH8" s="731"/>
      <c r="FI8" s="731"/>
      <c r="FJ8" s="731"/>
      <c r="FK8" s="731"/>
      <c r="FL8" s="731"/>
      <c r="FM8" s="731"/>
      <c r="FN8" s="731"/>
      <c r="FO8" s="731"/>
      <c r="FP8" s="731"/>
      <c r="FQ8" s="731"/>
      <c r="FR8" s="731"/>
      <c r="FS8" s="731"/>
      <c r="FT8" s="731"/>
      <c r="FU8" s="731"/>
      <c r="FV8" s="731"/>
      <c r="FW8" s="731"/>
      <c r="FX8" s="731"/>
      <c r="FY8" s="731"/>
      <c r="FZ8" s="731"/>
      <c r="GA8" s="731"/>
      <c r="GB8" s="731"/>
      <c r="GC8" s="731"/>
      <c r="GD8" s="731"/>
      <c r="GE8" s="731"/>
      <c r="GF8" s="731"/>
      <c r="GG8" s="731"/>
      <c r="GH8" s="731"/>
      <c r="GI8" s="731"/>
      <c r="GJ8" s="731"/>
      <c r="GK8" s="731"/>
      <c r="GL8" s="731"/>
      <c r="GM8" s="731"/>
      <c r="GN8" s="731"/>
      <c r="GO8" s="731"/>
      <c r="GP8" s="731"/>
      <c r="GQ8" s="731"/>
      <c r="GR8" s="731"/>
      <c r="GS8" s="731"/>
      <c r="GT8" s="731"/>
      <c r="GU8" s="731"/>
      <c r="GV8" s="731"/>
      <c r="GW8" s="731"/>
      <c r="GX8" s="731"/>
      <c r="GY8" s="731"/>
      <c r="GZ8" s="731"/>
      <c r="HA8" s="731"/>
      <c r="HB8" s="731"/>
      <c r="HC8" s="731"/>
      <c r="HD8" s="731"/>
      <c r="HE8" s="731"/>
      <c r="HF8" s="731"/>
      <c r="HG8" s="731"/>
      <c r="HH8" s="731"/>
      <c r="HI8" s="731"/>
      <c r="HJ8" s="731"/>
      <c r="HK8" s="731"/>
      <c r="HL8" s="731"/>
      <c r="HM8" s="731"/>
      <c r="HN8" s="731"/>
      <c r="HO8" s="731"/>
      <c r="HP8" s="731"/>
      <c r="HQ8" s="731"/>
      <c r="HR8" s="731"/>
      <c r="HS8" s="731"/>
      <c r="HT8" s="731"/>
      <c r="HU8" s="731"/>
      <c r="HV8" s="731"/>
      <c r="HW8" s="731"/>
      <c r="HX8" s="731"/>
      <c r="HY8" s="731"/>
      <c r="HZ8" s="731"/>
      <c r="IA8" s="731"/>
      <c r="IB8" s="731"/>
      <c r="IC8" s="731"/>
      <c r="ID8" s="731"/>
      <c r="IE8" s="731"/>
      <c r="IF8" s="731"/>
      <c r="IG8" s="731"/>
      <c r="IH8" s="731"/>
      <c r="II8" s="731"/>
      <c r="IJ8" s="731"/>
      <c r="IK8" s="731"/>
      <c r="IL8" s="731"/>
      <c r="IM8" s="731"/>
      <c r="IN8" s="731"/>
      <c r="IO8" s="731"/>
      <c r="IP8" s="731"/>
      <c r="IQ8" s="731"/>
      <c r="IR8" s="731"/>
      <c r="IS8" s="731"/>
      <c r="IT8" s="731"/>
      <c r="IU8" s="731"/>
      <c r="IV8" s="731"/>
    </row>
    <row r="9" spans="1:256" ht="15" customHeight="1">
      <c r="A9" s="169" t="s">
        <v>3</v>
      </c>
      <c r="B9" s="283">
        <f>B8</f>
        <v>0</v>
      </c>
      <c r="C9" s="283">
        <f>C8</f>
        <v>0</v>
      </c>
      <c r="D9" s="58"/>
      <c r="E9" s="165"/>
      <c r="F9" s="165"/>
      <c r="G9" s="165"/>
      <c r="H9" s="165"/>
      <c r="I9" s="165"/>
      <c r="J9" s="165"/>
      <c r="K9" s="165"/>
      <c r="L9" s="165"/>
      <c r="M9" s="165"/>
      <c r="N9" s="165"/>
      <c r="O9" s="165"/>
      <c r="P9" s="165"/>
      <c r="Q9" s="165"/>
      <c r="R9" s="165"/>
      <c r="S9" s="165"/>
      <c r="T9" s="165"/>
      <c r="U9" s="165"/>
      <c r="V9" s="165"/>
      <c r="W9" s="165"/>
      <c r="X9" s="165"/>
      <c r="Y9" s="165"/>
      <c r="Z9" s="165"/>
      <c r="AA9" s="165"/>
      <c r="AB9" s="165"/>
      <c r="AC9" s="165"/>
      <c r="AD9" s="165"/>
      <c r="AE9" s="165"/>
      <c r="AF9" s="165"/>
      <c r="AG9" s="165"/>
      <c r="AH9" s="165"/>
      <c r="AI9" s="165"/>
      <c r="AJ9" s="165"/>
      <c r="AK9" s="165"/>
      <c r="AL9" s="165"/>
      <c r="AM9" s="165"/>
      <c r="AN9" s="165"/>
      <c r="AO9" s="165"/>
      <c r="AP9" s="165"/>
      <c r="AQ9" s="165"/>
      <c r="AR9" s="165"/>
      <c r="AS9" s="165"/>
      <c r="AT9" s="165"/>
      <c r="AU9" s="165"/>
      <c r="AV9" s="165"/>
      <c r="AW9" s="165"/>
      <c r="AX9" s="165"/>
      <c r="AY9" s="165"/>
      <c r="AZ9" s="165"/>
      <c r="BA9" s="165"/>
      <c r="BB9" s="165"/>
      <c r="BC9" s="165"/>
      <c r="BD9" s="165"/>
      <c r="BE9" s="165"/>
      <c r="BF9" s="165"/>
      <c r="BG9" s="165"/>
      <c r="BH9" s="165"/>
      <c r="BI9" s="165"/>
      <c r="BJ9" s="165"/>
      <c r="BK9" s="165"/>
      <c r="BL9" s="165"/>
      <c r="BM9" s="165"/>
      <c r="BN9" s="165"/>
      <c r="BO9" s="165"/>
      <c r="BP9" s="165"/>
      <c r="BQ9" s="165"/>
      <c r="BR9" s="165"/>
      <c r="BS9" s="165"/>
      <c r="BT9" s="165"/>
      <c r="BU9" s="165"/>
      <c r="BV9" s="165"/>
      <c r="BW9" s="165"/>
      <c r="BX9" s="165"/>
      <c r="BY9" s="165"/>
      <c r="BZ9" s="165"/>
      <c r="CA9" s="165"/>
      <c r="CB9" s="165"/>
      <c r="CC9" s="165"/>
      <c r="CD9" s="165"/>
      <c r="CE9" s="165"/>
      <c r="CF9" s="165"/>
      <c r="CG9" s="165"/>
      <c r="CH9" s="165"/>
      <c r="CI9" s="165"/>
      <c r="CJ9" s="165"/>
      <c r="CK9" s="165"/>
      <c r="CL9" s="165"/>
      <c r="CM9" s="165"/>
      <c r="CN9" s="165"/>
      <c r="CO9" s="165"/>
      <c r="CP9" s="165"/>
      <c r="CQ9" s="165"/>
      <c r="CR9" s="165"/>
      <c r="CS9" s="165"/>
      <c r="CT9" s="165"/>
      <c r="CU9" s="165"/>
      <c r="CV9" s="165"/>
      <c r="CW9" s="165"/>
      <c r="CX9" s="165"/>
      <c r="CY9" s="165"/>
      <c r="CZ9" s="165"/>
      <c r="DA9" s="165"/>
      <c r="DB9" s="165"/>
      <c r="DC9" s="165"/>
      <c r="DD9" s="165"/>
      <c r="DE9" s="165"/>
      <c r="DF9" s="165"/>
      <c r="DG9" s="165"/>
      <c r="DH9" s="165"/>
      <c r="DI9" s="165"/>
      <c r="DJ9" s="165"/>
      <c r="DK9" s="165"/>
      <c r="DL9" s="165"/>
      <c r="DM9" s="165"/>
      <c r="DN9" s="165"/>
      <c r="DO9" s="165"/>
      <c r="DP9" s="165"/>
      <c r="DQ9" s="165"/>
      <c r="DR9" s="165"/>
      <c r="DS9" s="165"/>
      <c r="DT9" s="165"/>
      <c r="DU9" s="165"/>
      <c r="DV9" s="165"/>
      <c r="DW9" s="165"/>
      <c r="DX9" s="165"/>
      <c r="DY9" s="165"/>
      <c r="DZ9" s="165"/>
      <c r="EA9" s="165"/>
      <c r="EB9" s="165"/>
      <c r="EC9" s="165"/>
      <c r="ED9" s="165"/>
      <c r="EE9" s="165"/>
      <c r="EF9" s="165"/>
      <c r="EG9" s="165"/>
      <c r="EH9" s="165"/>
      <c r="EI9" s="165"/>
      <c r="EJ9" s="165"/>
      <c r="EK9" s="165"/>
      <c r="EL9" s="165"/>
      <c r="EM9" s="165"/>
      <c r="EN9" s="165"/>
      <c r="EO9" s="165"/>
      <c r="EP9" s="165"/>
      <c r="EQ9" s="165"/>
      <c r="ER9" s="165"/>
      <c r="ES9" s="165"/>
      <c r="ET9" s="165"/>
      <c r="EU9" s="165"/>
      <c r="EV9" s="165"/>
      <c r="EW9" s="165"/>
      <c r="EX9" s="165"/>
      <c r="EY9" s="165"/>
      <c r="EZ9" s="165"/>
      <c r="FA9" s="165"/>
      <c r="FB9" s="165"/>
      <c r="FC9" s="165"/>
      <c r="FD9" s="165"/>
      <c r="FE9" s="165"/>
      <c r="FF9" s="165"/>
      <c r="FG9" s="165"/>
      <c r="FH9" s="165"/>
      <c r="FI9" s="165"/>
      <c r="FJ9" s="165"/>
      <c r="FK9" s="165"/>
      <c r="FL9" s="165"/>
      <c r="FM9" s="165"/>
      <c r="FN9" s="165"/>
      <c r="FO9" s="165"/>
      <c r="FP9" s="165"/>
      <c r="FQ9" s="165"/>
      <c r="FR9" s="165"/>
      <c r="FS9" s="165"/>
      <c r="FT9" s="165"/>
      <c r="FU9" s="165"/>
      <c r="FV9" s="165"/>
      <c r="FW9" s="165"/>
      <c r="FX9" s="165"/>
      <c r="FY9" s="165"/>
      <c r="FZ9" s="165"/>
      <c r="GA9" s="165"/>
      <c r="GB9" s="165"/>
      <c r="GC9" s="165"/>
      <c r="GD9" s="165"/>
      <c r="GE9" s="165"/>
      <c r="GF9" s="165"/>
      <c r="GG9" s="165"/>
      <c r="GH9" s="165"/>
      <c r="GI9" s="165"/>
      <c r="GJ9" s="165"/>
      <c r="GK9" s="165"/>
      <c r="GL9" s="165"/>
      <c r="GM9" s="165"/>
      <c r="GN9" s="165"/>
      <c r="GO9" s="165"/>
      <c r="GP9" s="165"/>
      <c r="GQ9" s="165"/>
      <c r="GR9" s="165"/>
      <c r="GS9" s="165"/>
      <c r="GT9" s="165"/>
      <c r="GU9" s="165"/>
      <c r="GV9" s="165"/>
      <c r="GW9" s="165"/>
      <c r="GX9" s="165"/>
      <c r="GY9" s="165"/>
      <c r="GZ9" s="165"/>
      <c r="HA9" s="165"/>
      <c r="HB9" s="165"/>
      <c r="HC9" s="165"/>
      <c r="HD9" s="165"/>
      <c r="HE9" s="165"/>
      <c r="HF9" s="165"/>
      <c r="HG9" s="165"/>
      <c r="HH9" s="165"/>
      <c r="HI9" s="165"/>
      <c r="HJ9" s="165"/>
      <c r="HK9" s="165"/>
      <c r="HL9" s="165"/>
      <c r="HM9" s="165"/>
      <c r="HN9" s="165"/>
      <c r="HO9" s="165"/>
      <c r="HP9" s="165"/>
      <c r="HQ9" s="165"/>
      <c r="HR9" s="165"/>
      <c r="HS9" s="165"/>
      <c r="HT9" s="165"/>
      <c r="HU9" s="165"/>
      <c r="HV9" s="165"/>
      <c r="HW9" s="165"/>
      <c r="HX9" s="165"/>
      <c r="HY9" s="165"/>
      <c r="HZ9" s="165"/>
      <c r="IA9" s="165"/>
      <c r="IB9" s="165"/>
      <c r="IC9" s="165"/>
      <c r="ID9" s="165"/>
      <c r="IE9" s="165"/>
      <c r="IF9" s="165"/>
      <c r="IG9" s="165"/>
      <c r="IH9" s="165"/>
      <c r="II9" s="165"/>
      <c r="IJ9" s="165"/>
      <c r="IK9" s="165"/>
      <c r="IL9" s="165"/>
      <c r="IM9" s="165"/>
      <c r="IN9" s="165"/>
      <c r="IO9" s="165"/>
      <c r="IP9" s="165"/>
      <c r="IQ9" s="165"/>
      <c r="IR9" s="165"/>
      <c r="IS9" s="165"/>
      <c r="IT9" s="165"/>
      <c r="IU9" s="165"/>
      <c r="IV9" s="165"/>
    </row>
    <row r="10" spans="1:256" ht="15" customHeight="1">
      <c r="A10" s="58"/>
      <c r="B10" s="58"/>
      <c r="C10" s="58"/>
      <c r="D10" s="58"/>
      <c r="E10" s="731"/>
      <c r="F10" s="731"/>
      <c r="G10" s="731"/>
      <c r="H10" s="731"/>
      <c r="I10" s="731"/>
      <c r="J10" s="731"/>
      <c r="K10" s="731"/>
      <c r="L10" s="731"/>
      <c r="M10" s="731"/>
      <c r="N10" s="731"/>
      <c r="O10" s="731"/>
      <c r="P10" s="731"/>
      <c r="Q10" s="731"/>
      <c r="R10" s="731"/>
      <c r="S10" s="731"/>
      <c r="T10" s="731"/>
      <c r="U10" s="731"/>
      <c r="V10" s="731"/>
      <c r="W10" s="731"/>
      <c r="X10" s="731"/>
      <c r="Y10" s="731"/>
      <c r="Z10" s="731"/>
      <c r="AA10" s="731"/>
      <c r="AB10" s="731"/>
      <c r="AC10" s="731"/>
      <c r="AD10" s="731"/>
      <c r="AE10" s="731"/>
      <c r="AF10" s="731"/>
      <c r="AG10" s="731"/>
      <c r="AH10" s="731"/>
      <c r="AI10" s="731"/>
      <c r="AJ10" s="731"/>
      <c r="AK10" s="731"/>
      <c r="AL10" s="731"/>
      <c r="AM10" s="731"/>
      <c r="AN10" s="731"/>
      <c r="AO10" s="731"/>
      <c r="AP10" s="731"/>
      <c r="AQ10" s="731"/>
      <c r="AR10" s="731"/>
      <c r="AS10" s="731"/>
      <c r="AT10" s="731"/>
      <c r="AU10" s="731"/>
      <c r="AV10" s="731"/>
      <c r="AW10" s="731"/>
      <c r="AX10" s="731"/>
      <c r="AY10" s="731"/>
      <c r="AZ10" s="731"/>
      <c r="BA10" s="731"/>
      <c r="BB10" s="731"/>
      <c r="BC10" s="731"/>
      <c r="BD10" s="731"/>
      <c r="BE10" s="731"/>
      <c r="BF10" s="731"/>
      <c r="BG10" s="731"/>
      <c r="BH10" s="731"/>
      <c r="BI10" s="731"/>
      <c r="BJ10" s="731"/>
      <c r="BK10" s="731"/>
      <c r="BL10" s="731"/>
      <c r="BM10" s="731"/>
      <c r="BN10" s="731"/>
      <c r="BO10" s="731"/>
      <c r="BP10" s="731"/>
      <c r="BQ10" s="731"/>
      <c r="BR10" s="731"/>
      <c r="BS10" s="731"/>
      <c r="BT10" s="731"/>
      <c r="BU10" s="731"/>
      <c r="BV10" s="731"/>
      <c r="BW10" s="731"/>
      <c r="BX10" s="731"/>
      <c r="BY10" s="731"/>
      <c r="BZ10" s="731"/>
      <c r="CA10" s="731"/>
      <c r="CB10" s="731"/>
      <c r="CC10" s="731"/>
      <c r="CD10" s="731"/>
      <c r="CE10" s="731"/>
      <c r="CF10" s="731"/>
      <c r="CG10" s="731"/>
      <c r="CH10" s="731"/>
      <c r="CI10" s="731"/>
      <c r="CJ10" s="731"/>
      <c r="CK10" s="731"/>
      <c r="CL10" s="731"/>
      <c r="CM10" s="731"/>
      <c r="CN10" s="731"/>
      <c r="CO10" s="731"/>
      <c r="CP10" s="731"/>
      <c r="CQ10" s="731"/>
      <c r="CR10" s="731"/>
      <c r="CS10" s="731"/>
      <c r="CT10" s="731"/>
      <c r="CU10" s="731"/>
      <c r="CV10" s="731"/>
      <c r="CW10" s="731"/>
      <c r="CX10" s="731"/>
      <c r="CY10" s="731"/>
      <c r="CZ10" s="731"/>
      <c r="DA10" s="731"/>
      <c r="DB10" s="731"/>
      <c r="DC10" s="731"/>
      <c r="DD10" s="731"/>
      <c r="DE10" s="731"/>
      <c r="DF10" s="731"/>
      <c r="DG10" s="731"/>
      <c r="DH10" s="731"/>
      <c r="DI10" s="731"/>
      <c r="DJ10" s="731"/>
      <c r="DK10" s="731"/>
      <c r="DL10" s="731"/>
      <c r="DM10" s="731"/>
      <c r="DN10" s="731"/>
      <c r="DO10" s="731"/>
      <c r="DP10" s="731"/>
      <c r="DQ10" s="731"/>
      <c r="DR10" s="731"/>
      <c r="DS10" s="731"/>
      <c r="DT10" s="731"/>
      <c r="DU10" s="731"/>
      <c r="DV10" s="731"/>
      <c r="DW10" s="731"/>
      <c r="DX10" s="731"/>
      <c r="DY10" s="731"/>
      <c r="DZ10" s="731"/>
      <c r="EA10" s="731"/>
      <c r="EB10" s="731"/>
      <c r="EC10" s="731"/>
      <c r="ED10" s="731"/>
      <c r="EE10" s="731"/>
      <c r="EF10" s="731"/>
      <c r="EG10" s="731"/>
      <c r="EH10" s="731"/>
      <c r="EI10" s="731"/>
      <c r="EJ10" s="731"/>
      <c r="EK10" s="731"/>
      <c r="EL10" s="731"/>
      <c r="EM10" s="731"/>
      <c r="EN10" s="731"/>
      <c r="EO10" s="731"/>
      <c r="EP10" s="731"/>
      <c r="EQ10" s="731"/>
      <c r="ER10" s="731"/>
      <c r="ES10" s="731"/>
      <c r="ET10" s="731"/>
      <c r="EU10" s="731"/>
      <c r="EV10" s="731"/>
      <c r="EW10" s="731"/>
      <c r="EX10" s="731"/>
      <c r="EY10" s="731"/>
      <c r="EZ10" s="731"/>
      <c r="FA10" s="731"/>
      <c r="FB10" s="731"/>
      <c r="FC10" s="731"/>
      <c r="FD10" s="731"/>
      <c r="FE10" s="731"/>
      <c r="FF10" s="731"/>
      <c r="FG10" s="731"/>
      <c r="FH10" s="731"/>
      <c r="FI10" s="731"/>
      <c r="FJ10" s="731"/>
      <c r="FK10" s="731"/>
      <c r="FL10" s="731"/>
      <c r="FM10" s="731"/>
      <c r="FN10" s="731"/>
      <c r="FO10" s="731"/>
      <c r="FP10" s="731"/>
      <c r="FQ10" s="731"/>
      <c r="FR10" s="731"/>
      <c r="FS10" s="731"/>
      <c r="FT10" s="731"/>
      <c r="FU10" s="731"/>
      <c r="FV10" s="731"/>
      <c r="FW10" s="731"/>
      <c r="FX10" s="731"/>
      <c r="FY10" s="731"/>
      <c r="FZ10" s="731"/>
      <c r="GA10" s="731"/>
      <c r="GB10" s="731"/>
      <c r="GC10" s="731"/>
      <c r="GD10" s="731"/>
      <c r="GE10" s="731"/>
      <c r="GF10" s="731"/>
      <c r="GG10" s="731"/>
      <c r="GH10" s="731"/>
      <c r="GI10" s="731"/>
      <c r="GJ10" s="731"/>
      <c r="GK10" s="731"/>
      <c r="GL10" s="731"/>
      <c r="GM10" s="731"/>
      <c r="GN10" s="731"/>
      <c r="GO10" s="731"/>
      <c r="GP10" s="731"/>
      <c r="GQ10" s="731"/>
      <c r="GR10" s="731"/>
      <c r="GS10" s="731"/>
      <c r="GT10" s="731"/>
      <c r="GU10" s="731"/>
      <c r="GV10" s="731"/>
      <c r="GW10" s="731"/>
      <c r="GX10" s="731"/>
      <c r="GY10" s="731"/>
      <c r="GZ10" s="731"/>
      <c r="HA10" s="731"/>
      <c r="HB10" s="731"/>
      <c r="HC10" s="731"/>
      <c r="HD10" s="731"/>
      <c r="HE10" s="731"/>
      <c r="HF10" s="731"/>
      <c r="HG10" s="731"/>
      <c r="HH10" s="731"/>
      <c r="HI10" s="731"/>
      <c r="HJ10" s="731"/>
      <c r="HK10" s="731"/>
      <c r="HL10" s="731"/>
      <c r="HM10" s="731"/>
      <c r="HN10" s="731"/>
      <c r="HO10" s="731"/>
      <c r="HP10" s="731"/>
      <c r="HQ10" s="731"/>
      <c r="HR10" s="731"/>
      <c r="HS10" s="731"/>
      <c r="HT10" s="731"/>
      <c r="HU10" s="731"/>
      <c r="HV10" s="731"/>
      <c r="HW10" s="731"/>
      <c r="HX10" s="731"/>
      <c r="HY10" s="731"/>
      <c r="HZ10" s="731"/>
      <c r="IA10" s="731"/>
      <c r="IB10" s="731"/>
      <c r="IC10" s="731"/>
      <c r="ID10" s="731"/>
      <c r="IE10" s="731"/>
      <c r="IF10" s="731"/>
      <c r="IG10" s="731"/>
      <c r="IH10" s="731"/>
      <c r="II10" s="731"/>
      <c r="IJ10" s="731"/>
      <c r="IK10" s="731"/>
      <c r="IL10" s="731"/>
      <c r="IM10" s="731"/>
      <c r="IN10" s="731"/>
      <c r="IO10" s="731"/>
      <c r="IP10" s="731"/>
      <c r="IQ10" s="731"/>
      <c r="IR10" s="731"/>
      <c r="IS10" s="731"/>
      <c r="IT10" s="731"/>
      <c r="IU10" s="731"/>
      <c r="IV10" s="731"/>
    </row>
    <row r="11" spans="1:256" ht="15" customHeight="1">
      <c r="A11" s="169" t="s">
        <v>122</v>
      </c>
      <c r="B11" s="58"/>
      <c r="C11" s="58"/>
      <c r="D11" s="58"/>
      <c r="E11" s="731"/>
      <c r="F11" s="731"/>
      <c r="G11" s="731"/>
      <c r="H11" s="731"/>
      <c r="I11" s="731"/>
      <c r="J11" s="731"/>
      <c r="K11" s="731"/>
      <c r="L11" s="731"/>
      <c r="M11" s="731"/>
      <c r="N11" s="731"/>
      <c r="O11" s="731"/>
      <c r="P11" s="731"/>
      <c r="Q11" s="731"/>
      <c r="R11" s="731"/>
      <c r="S11" s="731"/>
      <c r="T11" s="731"/>
      <c r="U11" s="731"/>
      <c r="V11" s="731"/>
      <c r="W11" s="731"/>
      <c r="X11" s="731"/>
      <c r="Y11" s="731"/>
      <c r="Z11" s="731"/>
      <c r="AA11" s="731"/>
      <c r="AB11" s="731"/>
      <c r="AC11" s="731"/>
      <c r="AD11" s="731"/>
      <c r="AE11" s="731"/>
      <c r="AF11" s="731"/>
      <c r="AG11" s="731"/>
      <c r="AH11" s="731"/>
      <c r="AI11" s="731"/>
      <c r="AJ11" s="731"/>
      <c r="AK11" s="731"/>
      <c r="AL11" s="731"/>
      <c r="AM11" s="731"/>
      <c r="AN11" s="731"/>
      <c r="AO11" s="731"/>
      <c r="AP11" s="731"/>
      <c r="AQ11" s="731"/>
      <c r="AR11" s="731"/>
      <c r="AS11" s="731"/>
      <c r="AT11" s="731"/>
      <c r="AU11" s="731"/>
      <c r="AV11" s="731"/>
      <c r="AW11" s="731"/>
      <c r="AX11" s="731"/>
      <c r="AY11" s="731"/>
      <c r="AZ11" s="731"/>
      <c r="BA11" s="731"/>
      <c r="BB11" s="731"/>
      <c r="BC11" s="731"/>
      <c r="BD11" s="731"/>
      <c r="BE11" s="731"/>
      <c r="BF11" s="731"/>
      <c r="BG11" s="731"/>
      <c r="BH11" s="731"/>
      <c r="BI11" s="731"/>
      <c r="BJ11" s="731"/>
      <c r="BK11" s="731"/>
      <c r="BL11" s="731"/>
      <c r="BM11" s="731"/>
      <c r="BN11" s="731"/>
      <c r="BO11" s="731"/>
      <c r="BP11" s="731"/>
      <c r="BQ11" s="731"/>
      <c r="BR11" s="731"/>
      <c r="BS11" s="731"/>
      <c r="BT11" s="731"/>
      <c r="BU11" s="731"/>
      <c r="BV11" s="731"/>
      <c r="BW11" s="731"/>
      <c r="BX11" s="731"/>
      <c r="BY11" s="731"/>
      <c r="BZ11" s="731"/>
      <c r="CA11" s="731"/>
      <c r="CB11" s="731"/>
      <c r="CC11" s="731"/>
      <c r="CD11" s="731"/>
      <c r="CE11" s="731"/>
      <c r="CF11" s="731"/>
      <c r="CG11" s="731"/>
      <c r="CH11" s="731"/>
      <c r="CI11" s="731"/>
      <c r="CJ11" s="731"/>
      <c r="CK11" s="731"/>
      <c r="CL11" s="731"/>
      <c r="CM11" s="731"/>
      <c r="CN11" s="731"/>
      <c r="CO11" s="731"/>
      <c r="CP11" s="731"/>
      <c r="CQ11" s="731"/>
      <c r="CR11" s="731"/>
      <c r="CS11" s="731"/>
      <c r="CT11" s="731"/>
      <c r="CU11" s="731"/>
      <c r="CV11" s="731"/>
      <c r="CW11" s="731"/>
      <c r="CX11" s="731"/>
      <c r="CY11" s="731"/>
      <c r="CZ11" s="731"/>
      <c r="DA11" s="731"/>
      <c r="DB11" s="731"/>
      <c r="DC11" s="731"/>
      <c r="DD11" s="731"/>
      <c r="DE11" s="731"/>
      <c r="DF11" s="731"/>
      <c r="DG11" s="731"/>
      <c r="DH11" s="731"/>
      <c r="DI11" s="731"/>
      <c r="DJ11" s="731"/>
      <c r="DK11" s="731"/>
      <c r="DL11" s="731"/>
      <c r="DM11" s="731"/>
      <c r="DN11" s="731"/>
      <c r="DO11" s="731"/>
      <c r="DP11" s="731"/>
      <c r="DQ11" s="731"/>
      <c r="DR11" s="731"/>
      <c r="DS11" s="731"/>
      <c r="DT11" s="731"/>
      <c r="DU11" s="731"/>
      <c r="DV11" s="731"/>
      <c r="DW11" s="731"/>
      <c r="DX11" s="731"/>
      <c r="DY11" s="731"/>
      <c r="DZ11" s="731"/>
      <c r="EA11" s="731"/>
      <c r="EB11" s="731"/>
      <c r="EC11" s="731"/>
      <c r="ED11" s="731"/>
      <c r="EE11" s="731"/>
      <c r="EF11" s="731"/>
      <c r="EG11" s="731"/>
      <c r="EH11" s="731"/>
      <c r="EI11" s="731"/>
      <c r="EJ11" s="731"/>
      <c r="EK11" s="731"/>
      <c r="EL11" s="731"/>
      <c r="EM11" s="731"/>
      <c r="EN11" s="731"/>
      <c r="EO11" s="731"/>
      <c r="EP11" s="731"/>
      <c r="EQ11" s="731"/>
      <c r="ER11" s="731"/>
      <c r="ES11" s="731"/>
      <c r="ET11" s="731"/>
      <c r="EU11" s="731"/>
      <c r="EV11" s="731"/>
      <c r="EW11" s="731"/>
      <c r="EX11" s="731"/>
      <c r="EY11" s="731"/>
      <c r="EZ11" s="731"/>
      <c r="FA11" s="731"/>
      <c r="FB11" s="731"/>
      <c r="FC11" s="731"/>
      <c r="FD11" s="731"/>
      <c r="FE11" s="731"/>
      <c r="FF11" s="731"/>
      <c r="FG11" s="731"/>
      <c r="FH11" s="731"/>
      <c r="FI11" s="731"/>
      <c r="FJ11" s="731"/>
      <c r="FK11" s="731"/>
      <c r="FL11" s="731"/>
      <c r="FM11" s="731"/>
      <c r="FN11" s="731"/>
      <c r="FO11" s="731"/>
      <c r="FP11" s="731"/>
      <c r="FQ11" s="731"/>
      <c r="FR11" s="731"/>
      <c r="FS11" s="731"/>
      <c r="FT11" s="731"/>
      <c r="FU11" s="731"/>
      <c r="FV11" s="731"/>
      <c r="FW11" s="731"/>
      <c r="FX11" s="731"/>
      <c r="FY11" s="731"/>
      <c r="FZ11" s="731"/>
      <c r="GA11" s="731"/>
      <c r="GB11" s="731"/>
      <c r="GC11" s="731"/>
      <c r="GD11" s="731"/>
      <c r="GE11" s="731"/>
      <c r="GF11" s="731"/>
      <c r="GG11" s="731"/>
      <c r="GH11" s="731"/>
      <c r="GI11" s="731"/>
      <c r="GJ11" s="731"/>
      <c r="GK11" s="731"/>
      <c r="GL11" s="731"/>
      <c r="GM11" s="731"/>
      <c r="GN11" s="731"/>
      <c r="GO11" s="731"/>
      <c r="GP11" s="731"/>
      <c r="GQ11" s="731"/>
      <c r="GR11" s="731"/>
      <c r="GS11" s="731"/>
      <c r="GT11" s="731"/>
      <c r="GU11" s="731"/>
      <c r="GV11" s="731"/>
      <c r="GW11" s="731"/>
      <c r="GX11" s="731"/>
      <c r="GY11" s="731"/>
      <c r="GZ11" s="731"/>
      <c r="HA11" s="731"/>
      <c r="HB11" s="731"/>
      <c r="HC11" s="731"/>
      <c r="HD11" s="731"/>
      <c r="HE11" s="731"/>
      <c r="HF11" s="731"/>
      <c r="HG11" s="731"/>
      <c r="HH11" s="731"/>
      <c r="HI11" s="731"/>
      <c r="HJ11" s="731"/>
      <c r="HK11" s="731"/>
      <c r="HL11" s="731"/>
      <c r="HM11" s="731"/>
      <c r="HN11" s="731"/>
      <c r="HO11" s="731"/>
      <c r="HP11" s="731"/>
      <c r="HQ11" s="731"/>
      <c r="HR11" s="731"/>
      <c r="HS11" s="731"/>
      <c r="HT11" s="731"/>
      <c r="HU11" s="731"/>
      <c r="HV11" s="731"/>
      <c r="HW11" s="731"/>
      <c r="HX11" s="731"/>
      <c r="HY11" s="731"/>
      <c r="HZ11" s="731"/>
      <c r="IA11" s="731"/>
      <c r="IB11" s="731"/>
      <c r="IC11" s="731"/>
      <c r="ID11" s="731"/>
      <c r="IE11" s="731"/>
      <c r="IF11" s="731"/>
      <c r="IG11" s="731"/>
      <c r="IH11" s="731"/>
      <c r="II11" s="731"/>
      <c r="IJ11" s="731"/>
      <c r="IK11" s="731"/>
      <c r="IL11" s="731"/>
      <c r="IM11" s="731"/>
      <c r="IN11" s="731"/>
      <c r="IO11" s="731"/>
      <c r="IP11" s="731"/>
      <c r="IQ11" s="731"/>
      <c r="IR11" s="731"/>
      <c r="IS11" s="731"/>
      <c r="IT11" s="731"/>
      <c r="IU11" s="731"/>
      <c r="IV11" s="731"/>
    </row>
    <row r="12" spans="1:256" ht="15" customHeight="1">
      <c r="A12" s="58" t="s">
        <v>125</v>
      </c>
      <c r="B12" s="58"/>
      <c r="C12" s="58"/>
      <c r="D12" s="58"/>
      <c r="E12" s="731"/>
      <c r="F12" s="731"/>
      <c r="G12" s="731"/>
      <c r="H12" s="731"/>
      <c r="I12" s="731"/>
      <c r="J12" s="731"/>
      <c r="K12" s="731"/>
      <c r="L12" s="731"/>
      <c r="M12" s="731"/>
      <c r="N12" s="731"/>
      <c r="O12" s="731"/>
      <c r="P12" s="731"/>
      <c r="Q12" s="731"/>
      <c r="R12" s="731"/>
      <c r="S12" s="731"/>
      <c r="T12" s="731"/>
      <c r="U12" s="731"/>
      <c r="V12" s="731"/>
      <c r="W12" s="731"/>
      <c r="X12" s="731"/>
      <c r="Y12" s="731"/>
      <c r="Z12" s="731"/>
      <c r="AA12" s="731"/>
      <c r="AB12" s="731"/>
      <c r="AC12" s="731"/>
      <c r="AD12" s="731"/>
      <c r="AE12" s="731"/>
      <c r="AF12" s="731"/>
      <c r="AG12" s="731"/>
      <c r="AH12" s="731"/>
      <c r="AI12" s="731"/>
      <c r="AJ12" s="731"/>
      <c r="AK12" s="731"/>
      <c r="AL12" s="731"/>
      <c r="AM12" s="731"/>
      <c r="AN12" s="731"/>
      <c r="AO12" s="731"/>
      <c r="AP12" s="731"/>
      <c r="AQ12" s="731"/>
      <c r="AR12" s="731"/>
      <c r="AS12" s="731"/>
      <c r="AT12" s="731"/>
      <c r="AU12" s="731"/>
      <c r="AV12" s="731"/>
      <c r="AW12" s="731"/>
      <c r="AX12" s="731"/>
      <c r="AY12" s="731"/>
      <c r="AZ12" s="731"/>
      <c r="BA12" s="731"/>
      <c r="BB12" s="731"/>
      <c r="BC12" s="731"/>
      <c r="BD12" s="731"/>
      <c r="BE12" s="731"/>
      <c r="BF12" s="731"/>
      <c r="BG12" s="731"/>
      <c r="BH12" s="731"/>
      <c r="BI12" s="731"/>
      <c r="BJ12" s="731"/>
      <c r="BK12" s="731"/>
      <c r="BL12" s="731"/>
      <c r="BM12" s="731"/>
      <c r="BN12" s="731"/>
      <c r="BO12" s="731"/>
      <c r="BP12" s="731"/>
      <c r="BQ12" s="731"/>
      <c r="BR12" s="731"/>
      <c r="BS12" s="731"/>
      <c r="BT12" s="731"/>
      <c r="BU12" s="731"/>
      <c r="BV12" s="731"/>
      <c r="BW12" s="731"/>
      <c r="BX12" s="731"/>
      <c r="BY12" s="731"/>
      <c r="BZ12" s="731"/>
      <c r="CA12" s="731"/>
      <c r="CB12" s="731"/>
      <c r="CC12" s="731"/>
      <c r="CD12" s="731"/>
      <c r="CE12" s="731"/>
      <c r="CF12" s="731"/>
      <c r="CG12" s="731"/>
      <c r="CH12" s="731"/>
      <c r="CI12" s="731"/>
      <c r="CJ12" s="731"/>
      <c r="CK12" s="731"/>
      <c r="CL12" s="731"/>
      <c r="CM12" s="731"/>
      <c r="CN12" s="731"/>
      <c r="CO12" s="731"/>
      <c r="CP12" s="731"/>
      <c r="CQ12" s="731"/>
      <c r="CR12" s="731"/>
      <c r="CS12" s="731"/>
      <c r="CT12" s="731"/>
      <c r="CU12" s="731"/>
      <c r="CV12" s="731"/>
      <c r="CW12" s="731"/>
      <c r="CX12" s="731"/>
      <c r="CY12" s="731"/>
      <c r="CZ12" s="731"/>
      <c r="DA12" s="731"/>
      <c r="DB12" s="731"/>
      <c r="DC12" s="731"/>
      <c r="DD12" s="731"/>
      <c r="DE12" s="731"/>
      <c r="DF12" s="731"/>
      <c r="DG12" s="731"/>
      <c r="DH12" s="731"/>
      <c r="DI12" s="731"/>
      <c r="DJ12" s="731"/>
      <c r="DK12" s="731"/>
      <c r="DL12" s="731"/>
      <c r="DM12" s="731"/>
      <c r="DN12" s="731"/>
      <c r="DO12" s="731"/>
      <c r="DP12" s="731"/>
      <c r="DQ12" s="731"/>
      <c r="DR12" s="731"/>
      <c r="DS12" s="731"/>
      <c r="DT12" s="731"/>
      <c r="DU12" s="731"/>
      <c r="DV12" s="731"/>
      <c r="DW12" s="731"/>
      <c r="DX12" s="731"/>
      <c r="DY12" s="731"/>
      <c r="DZ12" s="731"/>
      <c r="EA12" s="731"/>
      <c r="EB12" s="731"/>
      <c r="EC12" s="731"/>
      <c r="ED12" s="731"/>
      <c r="EE12" s="731"/>
      <c r="EF12" s="731"/>
      <c r="EG12" s="731"/>
      <c r="EH12" s="731"/>
      <c r="EI12" s="731"/>
      <c r="EJ12" s="731"/>
      <c r="EK12" s="731"/>
      <c r="EL12" s="731"/>
      <c r="EM12" s="731"/>
      <c r="EN12" s="731"/>
      <c r="EO12" s="731"/>
      <c r="EP12" s="731"/>
      <c r="EQ12" s="731"/>
      <c r="ER12" s="731"/>
      <c r="ES12" s="731"/>
      <c r="ET12" s="731"/>
      <c r="EU12" s="731"/>
      <c r="EV12" s="731"/>
      <c r="EW12" s="731"/>
      <c r="EX12" s="731"/>
      <c r="EY12" s="731"/>
      <c r="EZ12" s="731"/>
      <c r="FA12" s="731"/>
      <c r="FB12" s="731"/>
      <c r="FC12" s="731"/>
      <c r="FD12" s="731"/>
      <c r="FE12" s="731"/>
      <c r="FF12" s="731"/>
      <c r="FG12" s="731"/>
      <c r="FH12" s="731"/>
      <c r="FI12" s="731"/>
      <c r="FJ12" s="731"/>
      <c r="FK12" s="731"/>
      <c r="FL12" s="731"/>
      <c r="FM12" s="731"/>
      <c r="FN12" s="731"/>
      <c r="FO12" s="731"/>
      <c r="FP12" s="731"/>
      <c r="FQ12" s="731"/>
      <c r="FR12" s="731"/>
      <c r="FS12" s="731"/>
      <c r="FT12" s="731"/>
      <c r="FU12" s="731"/>
      <c r="FV12" s="731"/>
      <c r="FW12" s="731"/>
      <c r="FX12" s="731"/>
      <c r="FY12" s="731"/>
      <c r="FZ12" s="731"/>
      <c r="GA12" s="731"/>
      <c r="GB12" s="731"/>
      <c r="GC12" s="731"/>
      <c r="GD12" s="731"/>
      <c r="GE12" s="731"/>
      <c r="GF12" s="731"/>
      <c r="GG12" s="731"/>
      <c r="GH12" s="731"/>
      <c r="GI12" s="731"/>
      <c r="GJ12" s="731"/>
      <c r="GK12" s="731"/>
      <c r="GL12" s="731"/>
      <c r="GM12" s="731"/>
      <c r="GN12" s="731"/>
      <c r="GO12" s="731"/>
      <c r="GP12" s="731"/>
      <c r="GQ12" s="731"/>
      <c r="GR12" s="731"/>
      <c r="GS12" s="731"/>
      <c r="GT12" s="731"/>
      <c r="GU12" s="731"/>
      <c r="GV12" s="731"/>
      <c r="GW12" s="731"/>
      <c r="GX12" s="731"/>
      <c r="GY12" s="731"/>
      <c r="GZ12" s="731"/>
      <c r="HA12" s="731"/>
      <c r="HB12" s="731"/>
      <c r="HC12" s="731"/>
      <c r="HD12" s="731"/>
      <c r="HE12" s="731"/>
      <c r="HF12" s="731"/>
      <c r="HG12" s="731"/>
      <c r="HH12" s="731"/>
      <c r="HI12" s="731"/>
      <c r="HJ12" s="731"/>
      <c r="HK12" s="731"/>
      <c r="HL12" s="731"/>
      <c r="HM12" s="731"/>
      <c r="HN12" s="731"/>
      <c r="HO12" s="731"/>
      <c r="HP12" s="731"/>
      <c r="HQ12" s="731"/>
      <c r="HR12" s="731"/>
      <c r="HS12" s="731"/>
      <c r="HT12" s="731"/>
      <c r="HU12" s="731"/>
      <c r="HV12" s="731"/>
      <c r="HW12" s="731"/>
      <c r="HX12" s="731"/>
      <c r="HY12" s="731"/>
      <c r="HZ12" s="731"/>
      <c r="IA12" s="731"/>
      <c r="IB12" s="731"/>
      <c r="IC12" s="731"/>
      <c r="ID12" s="731"/>
      <c r="IE12" s="731"/>
      <c r="IF12" s="731"/>
      <c r="IG12" s="731"/>
      <c r="IH12" s="731"/>
      <c r="II12" s="731"/>
      <c r="IJ12" s="731"/>
      <c r="IK12" s="731"/>
      <c r="IL12" s="731"/>
      <c r="IM12" s="731"/>
      <c r="IN12" s="731"/>
      <c r="IO12" s="731"/>
      <c r="IP12" s="731"/>
      <c r="IQ12" s="731"/>
      <c r="IR12" s="731"/>
      <c r="IS12" s="731"/>
      <c r="IT12" s="731"/>
      <c r="IU12" s="731"/>
      <c r="IV12" s="731"/>
    </row>
    <row r="13" spans="1:256" ht="15" customHeight="1">
      <c r="A13" s="169" t="s">
        <v>3</v>
      </c>
      <c r="B13" s="283">
        <f>B12</f>
        <v>0</v>
      </c>
      <c r="C13" s="283">
        <f>C12</f>
        <v>0</v>
      </c>
      <c r="D13" s="58"/>
      <c r="E13" s="165"/>
      <c r="F13" s="165"/>
      <c r="G13" s="165"/>
      <c r="H13" s="165"/>
      <c r="I13" s="165"/>
      <c r="J13" s="165"/>
      <c r="K13" s="165"/>
      <c r="L13" s="165"/>
      <c r="M13" s="165"/>
      <c r="N13" s="165"/>
      <c r="O13" s="165"/>
      <c r="P13" s="165"/>
      <c r="Q13" s="165"/>
      <c r="R13" s="165"/>
      <c r="S13" s="165"/>
      <c r="T13" s="165"/>
      <c r="U13" s="165"/>
      <c r="V13" s="165"/>
      <c r="W13" s="165"/>
      <c r="X13" s="165"/>
      <c r="Y13" s="165"/>
      <c r="Z13" s="165"/>
      <c r="AA13" s="165"/>
      <c r="AB13" s="165"/>
      <c r="AC13" s="165"/>
      <c r="AD13" s="165"/>
      <c r="AE13" s="165"/>
      <c r="AF13" s="165"/>
      <c r="AG13" s="165"/>
      <c r="AH13" s="165"/>
      <c r="AI13" s="165"/>
      <c r="AJ13" s="165"/>
      <c r="AK13" s="165"/>
      <c r="AL13" s="165"/>
      <c r="AM13" s="165"/>
      <c r="AN13" s="165"/>
      <c r="AO13" s="165"/>
      <c r="AP13" s="165"/>
      <c r="AQ13" s="165"/>
      <c r="AR13" s="165"/>
      <c r="AS13" s="165"/>
      <c r="AT13" s="165"/>
      <c r="AU13" s="165"/>
      <c r="AV13" s="165"/>
      <c r="AW13" s="165"/>
      <c r="AX13" s="165"/>
      <c r="AY13" s="165"/>
      <c r="AZ13" s="165"/>
      <c r="BA13" s="165"/>
      <c r="BB13" s="165"/>
      <c r="BC13" s="165"/>
      <c r="BD13" s="165"/>
      <c r="BE13" s="165"/>
      <c r="BF13" s="165"/>
      <c r="BG13" s="165"/>
      <c r="BH13" s="165"/>
      <c r="BI13" s="165"/>
      <c r="BJ13" s="165"/>
      <c r="BK13" s="165"/>
      <c r="BL13" s="165"/>
      <c r="BM13" s="165"/>
      <c r="BN13" s="165"/>
      <c r="BO13" s="165"/>
      <c r="BP13" s="165"/>
      <c r="BQ13" s="165"/>
      <c r="BR13" s="165"/>
      <c r="BS13" s="165"/>
      <c r="BT13" s="165"/>
      <c r="BU13" s="165"/>
      <c r="BV13" s="165"/>
      <c r="BW13" s="165"/>
      <c r="BX13" s="165"/>
      <c r="BY13" s="165"/>
      <c r="BZ13" s="165"/>
      <c r="CA13" s="165"/>
      <c r="CB13" s="165"/>
      <c r="CC13" s="165"/>
      <c r="CD13" s="165"/>
      <c r="CE13" s="165"/>
      <c r="CF13" s="165"/>
      <c r="CG13" s="165"/>
      <c r="CH13" s="165"/>
      <c r="CI13" s="165"/>
      <c r="CJ13" s="165"/>
      <c r="CK13" s="165"/>
      <c r="CL13" s="165"/>
      <c r="CM13" s="165"/>
      <c r="CN13" s="165"/>
      <c r="CO13" s="165"/>
      <c r="CP13" s="165"/>
      <c r="CQ13" s="165"/>
      <c r="CR13" s="165"/>
      <c r="CS13" s="165"/>
      <c r="CT13" s="165"/>
      <c r="CU13" s="165"/>
      <c r="CV13" s="165"/>
      <c r="CW13" s="165"/>
      <c r="CX13" s="165"/>
      <c r="CY13" s="165"/>
      <c r="CZ13" s="165"/>
      <c r="DA13" s="165"/>
      <c r="DB13" s="165"/>
      <c r="DC13" s="165"/>
      <c r="DD13" s="165"/>
      <c r="DE13" s="165"/>
      <c r="DF13" s="165"/>
      <c r="DG13" s="165"/>
      <c r="DH13" s="165"/>
      <c r="DI13" s="165"/>
      <c r="DJ13" s="165"/>
      <c r="DK13" s="165"/>
      <c r="DL13" s="165"/>
      <c r="DM13" s="165"/>
      <c r="DN13" s="165"/>
      <c r="DO13" s="165"/>
      <c r="DP13" s="165"/>
      <c r="DQ13" s="165"/>
      <c r="DR13" s="165"/>
      <c r="DS13" s="165"/>
      <c r="DT13" s="165"/>
      <c r="DU13" s="165"/>
      <c r="DV13" s="165"/>
      <c r="DW13" s="165"/>
      <c r="DX13" s="165"/>
      <c r="DY13" s="165"/>
      <c r="DZ13" s="165"/>
      <c r="EA13" s="165"/>
      <c r="EB13" s="165"/>
      <c r="EC13" s="165"/>
      <c r="ED13" s="165"/>
      <c r="EE13" s="165"/>
      <c r="EF13" s="165"/>
      <c r="EG13" s="165"/>
      <c r="EH13" s="165"/>
      <c r="EI13" s="165"/>
      <c r="EJ13" s="165"/>
      <c r="EK13" s="165"/>
      <c r="EL13" s="165"/>
      <c r="EM13" s="165"/>
      <c r="EN13" s="165"/>
      <c r="EO13" s="165"/>
      <c r="EP13" s="165"/>
      <c r="EQ13" s="165"/>
      <c r="ER13" s="165"/>
      <c r="ES13" s="165"/>
      <c r="ET13" s="165"/>
      <c r="EU13" s="165"/>
      <c r="EV13" s="165"/>
      <c r="EW13" s="165"/>
      <c r="EX13" s="165"/>
      <c r="EY13" s="165"/>
      <c r="EZ13" s="165"/>
      <c r="FA13" s="165"/>
      <c r="FB13" s="165"/>
      <c r="FC13" s="165"/>
      <c r="FD13" s="165"/>
      <c r="FE13" s="165"/>
      <c r="FF13" s="165"/>
      <c r="FG13" s="165"/>
      <c r="FH13" s="165"/>
      <c r="FI13" s="165"/>
      <c r="FJ13" s="165"/>
      <c r="FK13" s="165"/>
      <c r="FL13" s="165"/>
      <c r="FM13" s="165"/>
      <c r="FN13" s="165"/>
      <c r="FO13" s="165"/>
      <c r="FP13" s="165"/>
      <c r="FQ13" s="165"/>
      <c r="FR13" s="165"/>
      <c r="FS13" s="165"/>
      <c r="FT13" s="165"/>
      <c r="FU13" s="165"/>
      <c r="FV13" s="165"/>
      <c r="FW13" s="165"/>
      <c r="FX13" s="165"/>
      <c r="FY13" s="165"/>
      <c r="FZ13" s="165"/>
      <c r="GA13" s="165"/>
      <c r="GB13" s="165"/>
      <c r="GC13" s="165"/>
      <c r="GD13" s="165"/>
      <c r="GE13" s="165"/>
      <c r="GF13" s="165"/>
      <c r="GG13" s="165"/>
      <c r="GH13" s="165"/>
      <c r="GI13" s="165"/>
      <c r="GJ13" s="165"/>
      <c r="GK13" s="165"/>
      <c r="GL13" s="165"/>
      <c r="GM13" s="165"/>
      <c r="GN13" s="165"/>
      <c r="GO13" s="165"/>
      <c r="GP13" s="165"/>
      <c r="GQ13" s="165"/>
      <c r="GR13" s="165"/>
      <c r="GS13" s="165"/>
      <c r="GT13" s="165"/>
      <c r="GU13" s="165"/>
      <c r="GV13" s="165"/>
      <c r="GW13" s="165"/>
      <c r="GX13" s="165"/>
      <c r="GY13" s="165"/>
      <c r="GZ13" s="165"/>
      <c r="HA13" s="165"/>
      <c r="HB13" s="165"/>
      <c r="HC13" s="165"/>
      <c r="HD13" s="165"/>
      <c r="HE13" s="165"/>
      <c r="HF13" s="165"/>
      <c r="HG13" s="165"/>
      <c r="HH13" s="165"/>
      <c r="HI13" s="165"/>
      <c r="HJ13" s="165"/>
      <c r="HK13" s="165"/>
      <c r="HL13" s="165"/>
      <c r="HM13" s="165"/>
      <c r="HN13" s="165"/>
      <c r="HO13" s="165"/>
      <c r="HP13" s="165"/>
      <c r="HQ13" s="165"/>
      <c r="HR13" s="165"/>
      <c r="HS13" s="165"/>
      <c r="HT13" s="165"/>
      <c r="HU13" s="165"/>
      <c r="HV13" s="165"/>
      <c r="HW13" s="165"/>
      <c r="HX13" s="165"/>
      <c r="HY13" s="165"/>
      <c r="HZ13" s="165"/>
      <c r="IA13" s="165"/>
      <c r="IB13" s="165"/>
      <c r="IC13" s="165"/>
      <c r="ID13" s="165"/>
      <c r="IE13" s="165"/>
      <c r="IF13" s="165"/>
      <c r="IG13" s="165"/>
      <c r="IH13" s="165"/>
      <c r="II13" s="165"/>
      <c r="IJ13" s="165"/>
      <c r="IK13" s="165"/>
      <c r="IL13" s="165"/>
      <c r="IM13" s="165"/>
      <c r="IN13" s="165"/>
      <c r="IO13" s="165"/>
      <c r="IP13" s="165"/>
      <c r="IQ13" s="165"/>
      <c r="IR13" s="165"/>
      <c r="IS13" s="165"/>
      <c r="IT13" s="165"/>
      <c r="IU13" s="165"/>
      <c r="IV13" s="165"/>
    </row>
    <row r="14" ht="15" customHeight="1"/>
    <row r="15" ht="15" customHeight="1">
      <c r="A15" s="127" t="s">
        <v>123</v>
      </c>
    </row>
    <row r="16" spans="1:4" s="67" customFormat="1" ht="15" customHeight="1">
      <c r="A16" s="167" t="s">
        <v>126</v>
      </c>
      <c r="B16" s="167"/>
      <c r="C16" s="167"/>
      <c r="D16" s="167"/>
    </row>
    <row r="17" spans="1:3" ht="15" customHeight="1">
      <c r="A17" s="169" t="s">
        <v>3</v>
      </c>
      <c r="B17" s="284">
        <f>B16</f>
        <v>0</v>
      </c>
      <c r="C17" s="284">
        <f>C16</f>
        <v>0</v>
      </c>
    </row>
    <row r="18" ht="15" customHeight="1"/>
    <row r="19" spans="1:3" ht="15" customHeight="1">
      <c r="A19" s="127" t="s">
        <v>127</v>
      </c>
      <c r="B19" s="284">
        <f>B9+B13+B17</f>
        <v>0</v>
      </c>
      <c r="C19" s="284">
        <f>C9+C13+C17</f>
        <v>0</v>
      </c>
    </row>
    <row r="20" ht="15" customHeight="1"/>
    <row r="21" ht="15" customHeight="1"/>
  </sheetData>
  <sheetProtection/>
  <mergeCells count="211">
    <mergeCell ref="BS4:BX4"/>
    <mergeCell ref="BY4:CD4"/>
    <mergeCell ref="CE4:CJ4"/>
    <mergeCell ref="CK4:CP4"/>
    <mergeCell ref="CQ4:CV4"/>
    <mergeCell ref="CW4:DB4"/>
    <mergeCell ref="AI4:AN4"/>
    <mergeCell ref="AO4:AT4"/>
    <mergeCell ref="AU4:AZ4"/>
    <mergeCell ref="BA4:BF4"/>
    <mergeCell ref="BG4:BL4"/>
    <mergeCell ref="BM4:BR4"/>
    <mergeCell ref="E4:J4"/>
    <mergeCell ref="K4:P4"/>
    <mergeCell ref="Q4:V4"/>
    <mergeCell ref="W4:AB4"/>
    <mergeCell ref="AC4:AH4"/>
    <mergeCell ref="IQ4:IV4"/>
    <mergeCell ref="HG4:HL4"/>
    <mergeCell ref="HM4:HR4"/>
    <mergeCell ref="HS4:HX4"/>
    <mergeCell ref="HY4:ID4"/>
    <mergeCell ref="IE4:IJ4"/>
    <mergeCell ref="IK4:IP4"/>
    <mergeCell ref="FW4:GB4"/>
    <mergeCell ref="GC4:GH4"/>
    <mergeCell ref="GI4:GN4"/>
    <mergeCell ref="GO4:GT4"/>
    <mergeCell ref="GU4:GZ4"/>
    <mergeCell ref="HA4:HF4"/>
    <mergeCell ref="EM4:ER4"/>
    <mergeCell ref="ES4:EX4"/>
    <mergeCell ref="EY4:FD4"/>
    <mergeCell ref="FE4:FJ4"/>
    <mergeCell ref="FK4:FP4"/>
    <mergeCell ref="FQ4:FV4"/>
    <mergeCell ref="DC4:DH4"/>
    <mergeCell ref="DI4:DN4"/>
    <mergeCell ref="DO4:DT4"/>
    <mergeCell ref="DU4:DZ4"/>
    <mergeCell ref="EA4:EF4"/>
    <mergeCell ref="EG4:EL4"/>
    <mergeCell ref="AU8:AZ8"/>
    <mergeCell ref="BA8:BF8"/>
    <mergeCell ref="BG8:BL8"/>
    <mergeCell ref="BM8:BR8"/>
    <mergeCell ref="BS8:BX8"/>
    <mergeCell ref="BY8:CD8"/>
    <mergeCell ref="E8:J8"/>
    <mergeCell ref="K8:P8"/>
    <mergeCell ref="Q8:V8"/>
    <mergeCell ref="W8:AB8"/>
    <mergeCell ref="AC8:AH8"/>
    <mergeCell ref="AI8:AN8"/>
    <mergeCell ref="AO8:AT8"/>
    <mergeCell ref="HS8:HX8"/>
    <mergeCell ref="HY8:ID8"/>
    <mergeCell ref="IE8:IJ8"/>
    <mergeCell ref="IK8:IP8"/>
    <mergeCell ref="IQ8:IV8"/>
    <mergeCell ref="GI8:GN8"/>
    <mergeCell ref="GO8:GT8"/>
    <mergeCell ref="GU8:GZ8"/>
    <mergeCell ref="HA8:HF8"/>
    <mergeCell ref="HG8:HL8"/>
    <mergeCell ref="HM8:HR8"/>
    <mergeCell ref="EY8:FD8"/>
    <mergeCell ref="FE8:FJ8"/>
    <mergeCell ref="FK8:FP8"/>
    <mergeCell ref="FQ8:FV8"/>
    <mergeCell ref="FW8:GB8"/>
    <mergeCell ref="GC8:GH8"/>
    <mergeCell ref="DO8:DT8"/>
    <mergeCell ref="DU8:DZ8"/>
    <mergeCell ref="EA8:EF8"/>
    <mergeCell ref="EG8:EL8"/>
    <mergeCell ref="EM8:ER8"/>
    <mergeCell ref="ES8:EX8"/>
    <mergeCell ref="CE8:CJ8"/>
    <mergeCell ref="CK8:CP8"/>
    <mergeCell ref="CQ8:CV8"/>
    <mergeCell ref="CW8:DB8"/>
    <mergeCell ref="DC8:DH8"/>
    <mergeCell ref="DI8:DN8"/>
    <mergeCell ref="AC10:AH10"/>
    <mergeCell ref="AI10:AN10"/>
    <mergeCell ref="AO10:AT10"/>
    <mergeCell ref="AU10:AZ10"/>
    <mergeCell ref="BA10:BF10"/>
    <mergeCell ref="BG10:BL10"/>
    <mergeCell ref="E10:J10"/>
    <mergeCell ref="K10:P10"/>
    <mergeCell ref="Q10:V10"/>
    <mergeCell ref="W10:AB10"/>
    <mergeCell ref="IK10:IP10"/>
    <mergeCell ref="IQ10:IV10"/>
    <mergeCell ref="HA10:HF10"/>
    <mergeCell ref="HG10:HL10"/>
    <mergeCell ref="HM10:HR10"/>
    <mergeCell ref="HS10:HX10"/>
    <mergeCell ref="HY10:ID10"/>
    <mergeCell ref="IE10:IJ10"/>
    <mergeCell ref="FQ10:FV10"/>
    <mergeCell ref="FW10:GB10"/>
    <mergeCell ref="GC10:GH10"/>
    <mergeCell ref="GI10:GN10"/>
    <mergeCell ref="GO10:GT10"/>
    <mergeCell ref="GU10:GZ10"/>
    <mergeCell ref="EG10:EL10"/>
    <mergeCell ref="EM10:ER10"/>
    <mergeCell ref="ES10:EX10"/>
    <mergeCell ref="EY10:FD10"/>
    <mergeCell ref="FE10:FJ10"/>
    <mergeCell ref="FK10:FP10"/>
    <mergeCell ref="CW10:DB10"/>
    <mergeCell ref="DC10:DH10"/>
    <mergeCell ref="DI10:DN10"/>
    <mergeCell ref="DO10:DT10"/>
    <mergeCell ref="DU10:DZ10"/>
    <mergeCell ref="EA10:EF10"/>
    <mergeCell ref="BM10:BR10"/>
    <mergeCell ref="BS10:BX10"/>
    <mergeCell ref="BY10:CD10"/>
    <mergeCell ref="CE10:CJ10"/>
    <mergeCell ref="CK10:CP10"/>
    <mergeCell ref="CQ10:CV10"/>
    <mergeCell ref="E11:J11"/>
    <mergeCell ref="K11:P11"/>
    <mergeCell ref="Q11:V11"/>
    <mergeCell ref="W11:AB11"/>
    <mergeCell ref="AC11:AH11"/>
    <mergeCell ref="AI11:AN11"/>
    <mergeCell ref="AO11:AT11"/>
    <mergeCell ref="HS11:HX11"/>
    <mergeCell ref="HY11:ID11"/>
    <mergeCell ref="IE11:IJ11"/>
    <mergeCell ref="IK11:IP11"/>
    <mergeCell ref="IQ11:IV11"/>
    <mergeCell ref="GI11:GN11"/>
    <mergeCell ref="GO11:GT11"/>
    <mergeCell ref="GU11:GZ11"/>
    <mergeCell ref="HA11:HF11"/>
    <mergeCell ref="HG11:HL11"/>
    <mergeCell ref="HM11:HR11"/>
    <mergeCell ref="EY11:FD11"/>
    <mergeCell ref="FE11:FJ11"/>
    <mergeCell ref="FK11:FP11"/>
    <mergeCell ref="FQ11:FV11"/>
    <mergeCell ref="FW11:GB11"/>
    <mergeCell ref="GC11:GH11"/>
    <mergeCell ref="DO11:DT11"/>
    <mergeCell ref="DU11:DZ11"/>
    <mergeCell ref="EA11:EF11"/>
    <mergeCell ref="EG11:EL11"/>
    <mergeCell ref="EM11:ER11"/>
    <mergeCell ref="ES11:EX11"/>
    <mergeCell ref="CE11:CJ11"/>
    <mergeCell ref="CK11:CP11"/>
    <mergeCell ref="CQ11:CV11"/>
    <mergeCell ref="CW11:DB11"/>
    <mergeCell ref="DC11:DH11"/>
    <mergeCell ref="DI11:DN11"/>
    <mergeCell ref="AU11:AZ11"/>
    <mergeCell ref="BA11:BF11"/>
    <mergeCell ref="BG11:BL11"/>
    <mergeCell ref="BM11:BR11"/>
    <mergeCell ref="BS11:BX11"/>
    <mergeCell ref="BY11:CD11"/>
    <mergeCell ref="E12:J12"/>
    <mergeCell ref="K12:P12"/>
    <mergeCell ref="Q12:V12"/>
    <mergeCell ref="W12:AB12"/>
    <mergeCell ref="HA12:HF12"/>
    <mergeCell ref="HG12:HL12"/>
    <mergeCell ref="EG12:EL12"/>
    <mergeCell ref="EM12:ER12"/>
    <mergeCell ref="ES12:EX12"/>
    <mergeCell ref="EY12:FD12"/>
    <mergeCell ref="HM12:HR12"/>
    <mergeCell ref="HS12:HX12"/>
    <mergeCell ref="HY12:ID12"/>
    <mergeCell ref="IE12:IJ12"/>
    <mergeCell ref="FQ12:FV12"/>
    <mergeCell ref="FW12:GB12"/>
    <mergeCell ref="GC12:GH12"/>
    <mergeCell ref="GI12:GN12"/>
    <mergeCell ref="GO12:GT12"/>
    <mergeCell ref="GU12:GZ12"/>
    <mergeCell ref="FK12:FP12"/>
    <mergeCell ref="CW12:DB12"/>
    <mergeCell ref="DC12:DH12"/>
    <mergeCell ref="DI12:DN12"/>
    <mergeCell ref="DO12:DT12"/>
    <mergeCell ref="DU12:DZ12"/>
    <mergeCell ref="EA12:EF12"/>
    <mergeCell ref="BS12:BX12"/>
    <mergeCell ref="BY12:CD12"/>
    <mergeCell ref="CE12:CJ12"/>
    <mergeCell ref="CK12:CP12"/>
    <mergeCell ref="CQ12:CV12"/>
    <mergeCell ref="FE12:FJ12"/>
    <mergeCell ref="IK12:IP12"/>
    <mergeCell ref="IQ12:IV12"/>
    <mergeCell ref="B5:C5"/>
    <mergeCell ref="AC12:AH12"/>
    <mergeCell ref="AI12:AN12"/>
    <mergeCell ref="AO12:AT12"/>
    <mergeCell ref="AU12:AZ12"/>
    <mergeCell ref="BA12:BF12"/>
    <mergeCell ref="BG12:BL12"/>
    <mergeCell ref="BM12:BR12"/>
  </mergeCells>
  <hyperlinks>
    <hyperlink ref="C1" location="BG!A1" display="BG"/>
  </hyperlinks>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codeName="Hoja16"/>
  <dimension ref="A1:F17"/>
  <sheetViews>
    <sheetView zoomScalePageLayoutView="0" workbookViewId="0" topLeftCell="A1">
      <selection activeCell="A3" sqref="A3:IV4"/>
    </sheetView>
  </sheetViews>
  <sheetFormatPr defaultColWidth="11.421875" defaultRowHeight="15"/>
  <cols>
    <col min="1" max="1" width="26.7109375" style="154" customWidth="1"/>
    <col min="2" max="3" width="22.7109375" style="154" customWidth="1"/>
    <col min="4" max="19" width="11.421875" style="154" customWidth="1"/>
  </cols>
  <sheetData>
    <row r="1" spans="1:6" ht="15">
      <c r="A1" s="154" t="str">
        <f>Indice!C1</f>
        <v>IMPORT CENTER S.A.</v>
      </c>
      <c r="F1" s="177" t="s">
        <v>129</v>
      </c>
    </row>
    <row r="4" spans="1:4" ht="15">
      <c r="A4" s="743" t="s">
        <v>305</v>
      </c>
      <c r="B4" s="743"/>
      <c r="C4" s="743"/>
      <c r="D4" s="743"/>
    </row>
    <row r="5" spans="2:3" ht="15">
      <c r="B5" s="739" t="s">
        <v>293</v>
      </c>
      <c r="C5" s="739"/>
    </row>
    <row r="6" spans="1:4" ht="15">
      <c r="A6" s="174" t="s">
        <v>122</v>
      </c>
      <c r="B6" s="427">
        <f>_xlfn.IFERROR(IF(Indice!B6="","2XX2",YEAR(Indice!B6)),"2XX2")</f>
        <v>2021</v>
      </c>
      <c r="C6" s="427">
        <f>_xlfn.IFERROR(YEAR(Indice!B6-365),"2XX1")</f>
        <v>2020</v>
      </c>
      <c r="D6" s="170"/>
    </row>
    <row r="7" spans="1:4" ht="15">
      <c r="A7" s="171" t="s">
        <v>125</v>
      </c>
      <c r="B7" s="171"/>
      <c r="C7" s="171"/>
      <c r="D7" s="171"/>
    </row>
    <row r="8" spans="1:4" ht="25.5">
      <c r="A8" s="172" t="s">
        <v>160</v>
      </c>
      <c r="D8" s="172"/>
    </row>
    <row r="9" spans="1:6" ht="15">
      <c r="A9" s="173"/>
      <c r="D9" s="172"/>
      <c r="E9" s="171"/>
      <c r="F9" s="171"/>
    </row>
    <row r="10" spans="1:3" ht="15">
      <c r="A10" s="159" t="s">
        <v>127</v>
      </c>
      <c r="B10" s="281">
        <f>SUM(B7:B9)</f>
        <v>0</v>
      </c>
      <c r="C10" s="281">
        <f>SUM(C7:C9)</f>
        <v>0</v>
      </c>
    </row>
    <row r="11" spans="1:4" ht="15">
      <c r="A11" s="173"/>
      <c r="D11" s="172"/>
    </row>
    <row r="12" spans="1:4" ht="15">
      <c r="A12" s="172"/>
      <c r="D12" s="172"/>
    </row>
    <row r="13" spans="1:6" ht="15">
      <c r="A13" s="173"/>
      <c r="D13" s="172"/>
      <c r="E13" s="171"/>
      <c r="F13" s="171"/>
    </row>
    <row r="15" ht="15">
      <c r="A15" s="159"/>
    </row>
    <row r="16" spans="1:4" ht="15">
      <c r="A16" s="170"/>
      <c r="D16" s="170"/>
    </row>
    <row r="17" ht="15">
      <c r="A17" s="173"/>
    </row>
  </sheetData>
  <sheetProtection/>
  <mergeCells count="2">
    <mergeCell ref="A4:D4"/>
    <mergeCell ref="B5:C5"/>
  </mergeCells>
  <hyperlinks>
    <hyperlink ref="F1" location="BG!A1" display="BG"/>
  </hyperlink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sheetPr codeName="Hoja17"/>
  <dimension ref="A1:E13"/>
  <sheetViews>
    <sheetView zoomScalePageLayoutView="0" workbookViewId="0" topLeftCell="A1">
      <selection activeCell="A3" sqref="A3:IV4"/>
    </sheetView>
  </sheetViews>
  <sheetFormatPr defaultColWidth="11.421875" defaultRowHeight="15"/>
  <cols>
    <col min="1" max="1" width="24.7109375" style="154" customWidth="1"/>
    <col min="2" max="2" width="17.140625" style="154" customWidth="1"/>
    <col min="3" max="3" width="17.28125" style="154" customWidth="1"/>
    <col min="4" max="13" width="11.421875" style="154" customWidth="1"/>
  </cols>
  <sheetData>
    <row r="1" spans="1:5" ht="15">
      <c r="A1" s="154" t="str">
        <f>Indice!C1</f>
        <v>IMPORT CENTER S.A.</v>
      </c>
      <c r="E1" s="177" t="s">
        <v>129</v>
      </c>
    </row>
    <row r="5" spans="1:4" ht="15">
      <c r="A5" s="337" t="s">
        <v>306</v>
      </c>
      <c r="B5" s="337"/>
      <c r="C5" s="337"/>
      <c r="D5" s="337"/>
    </row>
    <row r="6" spans="2:3" ht="15">
      <c r="B6" s="739" t="s">
        <v>293</v>
      </c>
      <c r="C6" s="739"/>
    </row>
    <row r="7" spans="1:4" ht="15">
      <c r="A7" s="175" t="s">
        <v>128</v>
      </c>
      <c r="B7" s="427">
        <f>_xlfn.IFERROR(IF(Indice!B6="","2XX2",YEAR(Indice!B6)),"2XX2")</f>
        <v>2021</v>
      </c>
      <c r="C7" s="427">
        <f>_xlfn.IFERROR(YEAR(Indice!B6-365),"2XX1")</f>
        <v>2020</v>
      </c>
      <c r="D7" s="170"/>
    </row>
    <row r="8" spans="1:4" ht="15">
      <c r="A8" s="171"/>
      <c r="B8" s="171"/>
      <c r="C8" s="171"/>
      <c r="D8" s="171"/>
    </row>
    <row r="9" spans="1:4" ht="15">
      <c r="A9" s="172"/>
      <c r="D9" s="172"/>
    </row>
    <row r="10" spans="1:4" ht="15">
      <c r="A10" s="173"/>
      <c r="D10" s="172"/>
    </row>
    <row r="11" spans="1:3" ht="15">
      <c r="A11" s="159" t="s">
        <v>127</v>
      </c>
      <c r="B11" s="281">
        <f>SUM(B8:B10)</f>
        <v>0</v>
      </c>
      <c r="C11" s="281">
        <f>SUM(C8:C10)</f>
        <v>0</v>
      </c>
    </row>
    <row r="12" spans="1:4" ht="15">
      <c r="A12" s="173"/>
      <c r="D12" s="172"/>
    </row>
    <row r="13" spans="1:4" ht="15">
      <c r="A13" s="172"/>
      <c r="D13" s="172"/>
    </row>
  </sheetData>
  <sheetProtection/>
  <mergeCells count="1">
    <mergeCell ref="B6:C6"/>
  </mergeCells>
  <hyperlinks>
    <hyperlink ref="E1" location="BG!A1" display="BG"/>
  </hyperlink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sheetPr codeName="Hoja18"/>
  <dimension ref="A1:E27"/>
  <sheetViews>
    <sheetView showGridLines="0" zoomScalePageLayoutView="0" workbookViewId="0" topLeftCell="A10">
      <selection activeCell="D28" sqref="D28"/>
    </sheetView>
  </sheetViews>
  <sheetFormatPr defaultColWidth="11.421875" defaultRowHeight="15"/>
  <cols>
    <col min="1" max="1" width="38.57421875" style="319" customWidth="1"/>
    <col min="2" max="2" width="34.140625" style="319" customWidth="1"/>
    <col min="3" max="3" width="34.421875" style="319" bestFit="1" customWidth="1"/>
    <col min="4" max="4" width="18.421875" style="319" customWidth="1"/>
    <col min="5" max="5" width="18.7109375" style="319" customWidth="1"/>
    <col min="6" max="16384" width="11.421875" style="319" customWidth="1"/>
  </cols>
  <sheetData>
    <row r="1" spans="1:3" ht="15">
      <c r="A1" s="319" t="str">
        <f>Indice!C1</f>
        <v>IMPORT CENTER S.A.</v>
      </c>
      <c r="B1" s="176"/>
      <c r="C1" s="462" t="s">
        <v>129</v>
      </c>
    </row>
    <row r="4" spans="1:5" ht="15">
      <c r="A4" s="337" t="s">
        <v>308</v>
      </c>
      <c r="B4" s="337"/>
      <c r="C4" s="337"/>
      <c r="D4" s="337"/>
      <c r="E4" s="337"/>
    </row>
    <row r="5" ht="15">
      <c r="A5" s="425" t="s">
        <v>293</v>
      </c>
    </row>
    <row r="6" spans="1:4" ht="15">
      <c r="A6" s="338" t="s">
        <v>816</v>
      </c>
      <c r="B6" s="338"/>
      <c r="C6" s="338"/>
      <c r="D6" s="338"/>
    </row>
    <row r="7" ht="15">
      <c r="E7" s="282"/>
    </row>
    <row r="8" spans="1:5" ht="15">
      <c r="A8" s="127" t="s">
        <v>65</v>
      </c>
      <c r="B8" s="442" t="s">
        <v>165</v>
      </c>
      <c r="C8" s="442" t="s">
        <v>457</v>
      </c>
      <c r="D8" s="443">
        <f>_xlfn.IFERROR(IF(Indice!B6="","2XX2",YEAR(Indice!B6)),"2XX2")</f>
        <v>2021</v>
      </c>
      <c r="E8" s="443">
        <f>_xlfn.IFERROR(YEAR(Indice!B6-365),"2XX1")</f>
        <v>2020</v>
      </c>
    </row>
    <row r="9" spans="1:4" ht="15">
      <c r="A9" s="319" t="s">
        <v>456</v>
      </c>
      <c r="B9" s="336"/>
      <c r="C9" s="341">
        <f>_xlfn.IFERROR(VLOOKUP(B9,'Base de Monedas'!A:B,2,0),"")</f>
      </c>
      <c r="D9" s="28"/>
    </row>
    <row r="10" spans="1:4" ht="15">
      <c r="A10" s="322" t="s">
        <v>112</v>
      </c>
      <c r="B10" s="336"/>
      <c r="C10" s="341">
        <f>_xlfn.IFERROR(VLOOKUP(B10,'Base de Monedas'!A:B,2,0),"")</f>
      </c>
      <c r="D10" s="9"/>
    </row>
    <row r="11" spans="1:5" ht="15">
      <c r="A11" s="322" t="s">
        <v>113</v>
      </c>
      <c r="B11" s="336" t="s">
        <v>927</v>
      </c>
      <c r="C11" s="341" t="str">
        <f>_xlfn.IFERROR(VLOOKUP(B11,'Base de Monedas'!A:B,2,0),"")</f>
        <v>Guaraní</v>
      </c>
      <c r="D11" s="538">
        <v>122623</v>
      </c>
      <c r="E11" s="539">
        <v>183667</v>
      </c>
    </row>
    <row r="12" spans="1:5" s="476" customFormat="1" ht="15">
      <c r="A12" s="476" t="s">
        <v>113</v>
      </c>
      <c r="B12" s="336" t="s">
        <v>926</v>
      </c>
      <c r="C12" s="341" t="str">
        <f>_xlfn.IFERROR(VLOOKUP(B12,'Base de Monedas'!A:B,2,0),"")</f>
        <v>Dólar estadounidense</v>
      </c>
      <c r="D12" s="538">
        <v>872164</v>
      </c>
      <c r="E12" s="539">
        <v>66030</v>
      </c>
    </row>
    <row r="13" spans="1:5" s="476" customFormat="1" ht="15">
      <c r="A13" s="476" t="s">
        <v>924</v>
      </c>
      <c r="B13" s="336" t="s">
        <v>926</v>
      </c>
      <c r="C13" s="341" t="str">
        <f>_xlfn.IFERROR(VLOOKUP(B13,'Base de Monedas'!A:B,2,0),"")</f>
        <v>Dólar estadounidense</v>
      </c>
      <c r="D13" s="538">
        <v>1409789</v>
      </c>
      <c r="E13" s="539">
        <v>85917</v>
      </c>
    </row>
    <row r="14" spans="1:5" s="476" customFormat="1" ht="15">
      <c r="A14" s="476" t="s">
        <v>924</v>
      </c>
      <c r="B14" s="336" t="s">
        <v>927</v>
      </c>
      <c r="C14" s="341" t="str">
        <f>_xlfn.IFERROR(VLOOKUP(B14,'Base de Monedas'!A:B,2,0),"")</f>
        <v>Guaraní</v>
      </c>
      <c r="D14" s="538">
        <v>1500</v>
      </c>
      <c r="E14" s="539">
        <v>0</v>
      </c>
    </row>
    <row r="15" spans="1:5" s="476" customFormat="1" ht="15">
      <c r="A15" s="476" t="s">
        <v>925</v>
      </c>
      <c r="B15" s="336" t="s">
        <v>927</v>
      </c>
      <c r="C15" s="341" t="str">
        <f>_xlfn.IFERROR(VLOOKUP(B15,'Base de Monedas'!A:B,2,0),"")</f>
        <v>Guaraní</v>
      </c>
      <c r="D15" s="538">
        <v>11996</v>
      </c>
      <c r="E15" s="540">
        <v>4982</v>
      </c>
    </row>
    <row r="16" spans="1:5" s="617" customFormat="1" ht="15">
      <c r="A16" s="617" t="s">
        <v>992</v>
      </c>
      <c r="B16" s="336" t="s">
        <v>926</v>
      </c>
      <c r="C16" s="341" t="str">
        <f>_xlfn.IFERROR(VLOOKUP(B16,'Base de Monedas'!A:B,2,0),"")</f>
        <v>Dólar estadounidense</v>
      </c>
      <c r="D16" s="538"/>
      <c r="E16" s="540">
        <v>0</v>
      </c>
    </row>
    <row r="17" spans="1:5" ht="15">
      <c r="A17" s="340" t="s">
        <v>66</v>
      </c>
      <c r="B17" s="336"/>
      <c r="C17" s="341">
        <f>_xlfn.IFERROR(VLOOKUP(B17,'Base de Monedas'!A:B,2,0),"")</f>
      </c>
      <c r="D17" s="538"/>
      <c r="E17" s="539"/>
    </row>
    <row r="18" spans="1:5" ht="15.75" thickBot="1">
      <c r="A18" s="13" t="s">
        <v>114</v>
      </c>
      <c r="B18" s="11"/>
      <c r="C18" s="15"/>
      <c r="D18" s="541">
        <f>SUM($D$9:D17)</f>
        <v>2418072</v>
      </c>
      <c r="E18" s="541">
        <f>SUM($E$9:E17)</f>
        <v>340596</v>
      </c>
    </row>
    <row r="19" spans="1:5" ht="15.75" thickTop="1">
      <c r="A19" s="13"/>
      <c r="B19" s="11"/>
      <c r="C19" s="15"/>
      <c r="D19" s="329"/>
      <c r="E19" s="329"/>
    </row>
    <row r="21" ht="15">
      <c r="D21" s="282"/>
    </row>
    <row r="22" spans="1:5" ht="15">
      <c r="A22" s="127" t="s">
        <v>815</v>
      </c>
      <c r="B22" s="442" t="s">
        <v>165</v>
      </c>
      <c r="C22" s="442" t="s">
        <v>457</v>
      </c>
      <c r="D22" s="443">
        <f>_xlfn.IFERROR(YEAR(Indice!B6),"2XX2")</f>
        <v>2021</v>
      </c>
      <c r="E22" s="443">
        <f>_xlfn.IFERROR(YEAR(Indice!B6-365),"2XX1")</f>
        <v>2020</v>
      </c>
    </row>
    <row r="23" spans="1:4" ht="15">
      <c r="A23" s="319" t="s">
        <v>456</v>
      </c>
      <c r="B23" s="336"/>
      <c r="C23" s="341">
        <f>_xlfn.IFERROR(VLOOKUP(B23,'Base de Monedas'!A:B,2,0),"")</f>
      </c>
      <c r="D23" s="28"/>
    </row>
    <row r="24" spans="1:4" ht="15">
      <c r="A24" s="322" t="s">
        <v>112</v>
      </c>
      <c r="B24" s="336"/>
      <c r="C24" s="341">
        <f>_xlfn.IFERROR(VLOOKUP(B24,'Base de Monedas'!A:B,2,0),"")</f>
      </c>
      <c r="D24" s="9"/>
    </row>
    <row r="25" spans="1:5" ht="15">
      <c r="A25" s="322" t="s">
        <v>113</v>
      </c>
      <c r="B25" s="336" t="s">
        <v>926</v>
      </c>
      <c r="C25" s="341" t="str">
        <f>_xlfn.IFERROR(VLOOKUP(B25,'Base de Monedas'!A:B,2,0),"")</f>
        <v>Dólar estadounidense</v>
      </c>
      <c r="D25" s="538">
        <v>64191</v>
      </c>
      <c r="E25" s="539">
        <v>204973</v>
      </c>
    </row>
    <row r="26" spans="1:5" ht="15">
      <c r="A26" s="340" t="s">
        <v>66</v>
      </c>
      <c r="B26" s="336"/>
      <c r="C26" s="341">
        <f>_xlfn.IFERROR(VLOOKUP(B26,'Base de Monedas'!A:B,2,0),"")</f>
      </c>
      <c r="D26" s="538"/>
      <c r="E26" s="539"/>
    </row>
    <row r="27" spans="1:5" ht="15.75" thickBot="1">
      <c r="A27" s="13" t="s">
        <v>114</v>
      </c>
      <c r="B27" s="11"/>
      <c r="C27" s="15"/>
      <c r="D27" s="541">
        <f>SUM($D$23:D25)</f>
        <v>64191</v>
      </c>
      <c r="E27" s="541">
        <f>SUM($E$23:E25)</f>
        <v>204973</v>
      </c>
    </row>
    <row r="28" ht="15.75" thickTop="1"/>
  </sheetData>
  <sheetProtection/>
  <hyperlinks>
    <hyperlink ref="C1" location="BG!A1" display="BG"/>
  </hyperlinks>
  <printOptions horizontalCentered="1"/>
  <pageMargins left="0.7086614173228347" right="0.7086614173228347" top="0.7480314960629921" bottom="0.7480314960629921" header="0.31496062992125984" footer="0.31496062992125984"/>
  <pageSetup fitToHeight="2" fitToWidth="2" horizontalDpi="600" verticalDpi="600" orientation="portrait" paperSize="5" scale="75" r:id="rId1"/>
</worksheet>
</file>

<file path=xl/worksheets/sheet2.xml><?xml version="1.0" encoding="utf-8"?>
<worksheet xmlns="http://schemas.openxmlformats.org/spreadsheetml/2006/main" xmlns:r="http://schemas.openxmlformats.org/officeDocument/2006/relationships">
  <sheetPr codeName="Hoja1"/>
  <dimension ref="A1:T67"/>
  <sheetViews>
    <sheetView showGridLines="0" zoomScalePageLayoutView="0" workbookViewId="0" topLeftCell="A1">
      <selection activeCell="B6" sqref="B6"/>
    </sheetView>
  </sheetViews>
  <sheetFormatPr defaultColWidth="11.421875" defaultRowHeight="15"/>
  <cols>
    <col min="1" max="1" width="21.421875" style="2" bestFit="1" customWidth="1"/>
    <col min="2" max="2" width="10.140625" style="2" bestFit="1" customWidth="1"/>
    <col min="3" max="3" width="61.57421875" style="2" bestFit="1" customWidth="1"/>
    <col min="4" max="4" width="14.8515625" style="275" customWidth="1"/>
    <col min="5" max="5" width="49.8515625" style="2" bestFit="1" customWidth="1"/>
    <col min="6" max="6" width="6.7109375" style="2" bestFit="1" customWidth="1"/>
    <col min="7" max="16384" width="11.421875" style="2" customWidth="1"/>
  </cols>
  <sheetData>
    <row r="1" spans="2:4" ht="12.75">
      <c r="B1" s="473" t="s">
        <v>817</v>
      </c>
      <c r="C1" s="472" t="s">
        <v>899</v>
      </c>
      <c r="D1" s="2" t="s">
        <v>879</v>
      </c>
    </row>
    <row r="2" spans="19:20" ht="12.75">
      <c r="S2" s="2">
        <v>1</v>
      </c>
      <c r="T2" s="2" t="s">
        <v>433</v>
      </c>
    </row>
    <row r="3" spans="19:20" ht="12.75">
      <c r="S3" s="2">
        <v>2</v>
      </c>
      <c r="T3" s="2" t="s">
        <v>434</v>
      </c>
    </row>
    <row r="4" spans="19:20" ht="12.75">
      <c r="S4" s="2">
        <v>3</v>
      </c>
      <c r="T4" s="2" t="s">
        <v>435</v>
      </c>
    </row>
    <row r="5" spans="19:20" ht="12.75">
      <c r="S5" s="2">
        <v>4</v>
      </c>
      <c r="T5" s="2" t="s">
        <v>436</v>
      </c>
    </row>
    <row r="6" spans="1:20" ht="12.75">
      <c r="A6" s="473" t="s">
        <v>814</v>
      </c>
      <c r="B6" s="471">
        <v>44561</v>
      </c>
      <c r="S6" s="2">
        <v>5</v>
      </c>
      <c r="T6" s="2" t="s">
        <v>437</v>
      </c>
    </row>
    <row r="7" spans="1:20" ht="12.75" customHeight="1" hidden="1">
      <c r="A7" s="46"/>
      <c r="B7" s="46"/>
      <c r="C7" s="46"/>
      <c r="D7" s="295"/>
      <c r="S7" s="2">
        <v>6</v>
      </c>
      <c r="T7" s="2" t="s">
        <v>438</v>
      </c>
    </row>
    <row r="8" spans="1:20" ht="12.75">
      <c r="A8" s="342"/>
      <c r="S8" s="2">
        <v>7</v>
      </c>
      <c r="T8" s="2" t="s">
        <v>439</v>
      </c>
    </row>
    <row r="9" spans="2:20" ht="26.25" customHeight="1">
      <c r="B9" s="343"/>
      <c r="C9" s="344" t="s">
        <v>22</v>
      </c>
      <c r="D9" s="348" t="s">
        <v>361</v>
      </c>
      <c r="S9" s="2">
        <v>8</v>
      </c>
      <c r="T9" s="2" t="s">
        <v>440</v>
      </c>
    </row>
    <row r="10" spans="2:20" ht="26.25" customHeight="1">
      <c r="B10" s="345" t="s">
        <v>407</v>
      </c>
      <c r="C10" s="327"/>
      <c r="D10" s="349"/>
      <c r="S10" s="2">
        <v>9</v>
      </c>
      <c r="T10" s="2" t="s">
        <v>441</v>
      </c>
    </row>
    <row r="11" spans="1:20" ht="15">
      <c r="A11" s="113"/>
      <c r="B11" s="346"/>
      <c r="C11" s="328" t="s">
        <v>335</v>
      </c>
      <c r="D11" s="350" t="s">
        <v>23</v>
      </c>
      <c r="S11" s="2">
        <v>10</v>
      </c>
      <c r="T11" s="2" t="s">
        <v>442</v>
      </c>
    </row>
    <row r="12" spans="1:20" ht="15">
      <c r="A12" s="113"/>
      <c r="B12" s="346"/>
      <c r="C12" s="328" t="s">
        <v>39</v>
      </c>
      <c r="D12" s="351" t="s">
        <v>24</v>
      </c>
      <c r="S12" s="2">
        <v>11</v>
      </c>
      <c r="T12" s="2" t="s">
        <v>443</v>
      </c>
    </row>
    <row r="13" spans="1:20" ht="15">
      <c r="A13" s="113"/>
      <c r="B13" s="345" t="s">
        <v>267</v>
      </c>
      <c r="C13" s="328"/>
      <c r="D13" s="350" t="s">
        <v>129</v>
      </c>
      <c r="S13" s="2">
        <v>12</v>
      </c>
      <c r="T13" s="2" t="s">
        <v>444</v>
      </c>
    </row>
    <row r="14" spans="1:4" ht="12.75">
      <c r="A14" s="113"/>
      <c r="B14" s="346"/>
      <c r="C14" s="45" t="s">
        <v>206</v>
      </c>
      <c r="D14" s="352" t="s">
        <v>25</v>
      </c>
    </row>
    <row r="15" spans="1:4" ht="12.75">
      <c r="A15" s="113"/>
      <c r="B15" s="346"/>
      <c r="C15" s="45" t="s">
        <v>109</v>
      </c>
      <c r="D15" s="352" t="s">
        <v>26</v>
      </c>
    </row>
    <row r="16" spans="1:4" ht="12.75">
      <c r="A16" s="113"/>
      <c r="B16" s="346"/>
      <c r="C16" s="45" t="s">
        <v>207</v>
      </c>
      <c r="D16" s="352" t="s">
        <v>27</v>
      </c>
    </row>
    <row r="17" spans="1:4" ht="12.75">
      <c r="A17" s="113"/>
      <c r="B17" s="346"/>
      <c r="C17" s="45" t="s">
        <v>40</v>
      </c>
      <c r="D17" s="352" t="s">
        <v>28</v>
      </c>
    </row>
    <row r="18" spans="1:4" ht="15">
      <c r="A18" s="113"/>
      <c r="B18" s="346"/>
      <c r="C18" s="45" t="s">
        <v>207</v>
      </c>
      <c r="D18" s="351" t="s">
        <v>27</v>
      </c>
    </row>
    <row r="19" spans="1:4" ht="12.75">
      <c r="A19" s="113"/>
      <c r="B19" s="346"/>
      <c r="C19" s="45" t="s">
        <v>208</v>
      </c>
      <c r="D19" s="352" t="s">
        <v>29</v>
      </c>
    </row>
    <row r="20" spans="1:4" ht="12.75">
      <c r="A20" s="113"/>
      <c r="B20" s="346"/>
      <c r="C20" s="45" t="s">
        <v>390</v>
      </c>
      <c r="D20" s="352" t="s">
        <v>30</v>
      </c>
    </row>
    <row r="21" spans="1:4" ht="12.75">
      <c r="A21" s="113"/>
      <c r="B21" s="346"/>
      <c r="C21" s="45" t="s">
        <v>336</v>
      </c>
      <c r="D21" s="352" t="s">
        <v>31</v>
      </c>
    </row>
    <row r="22" spans="1:4" ht="12.75">
      <c r="A22" s="113"/>
      <c r="B22" s="346"/>
      <c r="C22" s="45" t="s">
        <v>228</v>
      </c>
      <c r="D22" s="352" t="s">
        <v>32</v>
      </c>
    </row>
    <row r="23" spans="1:4" ht="15">
      <c r="A23" s="113"/>
      <c r="B23" s="346"/>
      <c r="C23" s="45" t="s">
        <v>122</v>
      </c>
      <c r="D23" s="351" t="s">
        <v>33</v>
      </c>
    </row>
    <row r="24" spans="1:4" ht="15">
      <c r="A24" s="113"/>
      <c r="B24" s="346"/>
      <c r="C24" s="45" t="s">
        <v>128</v>
      </c>
      <c r="D24" s="350" t="s">
        <v>34</v>
      </c>
    </row>
    <row r="25" spans="1:4" ht="15">
      <c r="A25" s="113"/>
      <c r="B25" s="346"/>
      <c r="C25" s="45" t="s">
        <v>110</v>
      </c>
      <c r="D25" s="351" t="s">
        <v>35</v>
      </c>
    </row>
    <row r="26" spans="1:4" ht="12.75">
      <c r="A26" s="113"/>
      <c r="B26" s="346"/>
      <c r="C26" s="45" t="s">
        <v>111</v>
      </c>
      <c r="D26" s="352" t="s">
        <v>36</v>
      </c>
    </row>
    <row r="27" spans="1:4" ht="12.75">
      <c r="A27" s="113"/>
      <c r="B27" s="346"/>
      <c r="C27" s="45" t="s">
        <v>130</v>
      </c>
      <c r="D27" s="352" t="s">
        <v>37</v>
      </c>
    </row>
    <row r="28" spans="1:4" ht="12.75">
      <c r="A28" s="113"/>
      <c r="B28" s="346"/>
      <c r="C28" s="45" t="s">
        <v>67</v>
      </c>
      <c r="D28" s="352" t="s">
        <v>38</v>
      </c>
    </row>
    <row r="29" spans="1:4" ht="15">
      <c r="A29" s="113"/>
      <c r="B29" s="346"/>
      <c r="C29" s="45" t="s">
        <v>68</v>
      </c>
      <c r="D29" s="351" t="s">
        <v>337</v>
      </c>
    </row>
    <row r="30" spans="1:4" ht="15">
      <c r="A30" s="113"/>
      <c r="B30" s="346"/>
      <c r="C30" s="45" t="s">
        <v>69</v>
      </c>
      <c r="D30" s="351" t="s">
        <v>338</v>
      </c>
    </row>
    <row r="31" spans="1:4" ht="15">
      <c r="A31" s="113"/>
      <c r="B31" s="346"/>
      <c r="C31" s="45" t="s">
        <v>234</v>
      </c>
      <c r="D31" s="351" t="s">
        <v>339</v>
      </c>
    </row>
    <row r="32" spans="1:4" ht="15">
      <c r="A32" s="113"/>
      <c r="B32" s="346"/>
      <c r="C32" s="45" t="s">
        <v>341</v>
      </c>
      <c r="D32" s="351" t="s">
        <v>36</v>
      </c>
    </row>
    <row r="33" spans="1:4" ht="15">
      <c r="A33" s="113"/>
      <c r="B33" s="346"/>
      <c r="C33" s="45" t="s">
        <v>343</v>
      </c>
      <c r="D33" s="351" t="s">
        <v>339</v>
      </c>
    </row>
    <row r="34" spans="1:4" ht="15">
      <c r="A34" s="113"/>
      <c r="B34" s="346"/>
      <c r="C34" s="45" t="s">
        <v>238</v>
      </c>
      <c r="D34" s="351" t="s">
        <v>340</v>
      </c>
    </row>
    <row r="35" spans="1:4" ht="15">
      <c r="A35" s="113"/>
      <c r="B35" s="346"/>
      <c r="C35" s="45" t="s">
        <v>43</v>
      </c>
      <c r="D35" s="351" t="s">
        <v>344</v>
      </c>
    </row>
    <row r="36" spans="1:4" ht="15">
      <c r="A36" s="113"/>
      <c r="B36" s="346"/>
      <c r="C36" s="45" t="s">
        <v>81</v>
      </c>
      <c r="D36" s="351" t="s">
        <v>344</v>
      </c>
    </row>
    <row r="37" spans="1:4" ht="15">
      <c r="A37" s="113"/>
      <c r="B37" s="346"/>
      <c r="C37" s="45" t="s">
        <v>239</v>
      </c>
      <c r="D37" s="351" t="s">
        <v>344</v>
      </c>
    </row>
    <row r="38" spans="1:4" ht="15">
      <c r="A38" s="113"/>
      <c r="B38" s="346"/>
      <c r="C38" s="45" t="s">
        <v>393</v>
      </c>
      <c r="D38" s="351" t="s">
        <v>344</v>
      </c>
    </row>
    <row r="39" spans="1:4" ht="15">
      <c r="A39" s="113"/>
      <c r="B39" s="346"/>
      <c r="C39" s="45" t="s">
        <v>70</v>
      </c>
      <c r="D39" s="351" t="s">
        <v>345</v>
      </c>
    </row>
    <row r="40" spans="1:4" ht="15">
      <c r="A40" s="113"/>
      <c r="B40" s="346"/>
      <c r="C40" s="45" t="s">
        <v>44</v>
      </c>
      <c r="D40" s="351" t="s">
        <v>346</v>
      </c>
    </row>
    <row r="41" spans="1:4" ht="15">
      <c r="A41" s="113"/>
      <c r="B41" s="346"/>
      <c r="C41" s="45" t="s">
        <v>71</v>
      </c>
      <c r="D41" s="351" t="s">
        <v>347</v>
      </c>
    </row>
    <row r="42" spans="1:4" ht="15">
      <c r="A42" s="113"/>
      <c r="B42" s="345" t="s">
        <v>57</v>
      </c>
      <c r="C42" s="328"/>
      <c r="D42" s="350" t="s">
        <v>144</v>
      </c>
    </row>
    <row r="43" spans="1:4" ht="15">
      <c r="A43" s="113"/>
      <c r="B43" s="346"/>
      <c r="C43" s="45" t="s">
        <v>63</v>
      </c>
      <c r="D43" s="351" t="s">
        <v>348</v>
      </c>
    </row>
    <row r="44" spans="1:4" ht="15">
      <c r="A44" s="113"/>
      <c r="B44" s="346"/>
      <c r="C44" s="45" t="s">
        <v>152</v>
      </c>
      <c r="D44" s="351" t="s">
        <v>349</v>
      </c>
    </row>
    <row r="45" spans="1:4" ht="15">
      <c r="A45" s="113"/>
      <c r="B45" s="346"/>
      <c r="C45" s="45" t="s">
        <v>244</v>
      </c>
      <c r="D45" s="351" t="s">
        <v>350</v>
      </c>
    </row>
    <row r="46" spans="1:4" ht="15">
      <c r="A46" s="113"/>
      <c r="B46" s="346"/>
      <c r="C46" s="45" t="s">
        <v>167</v>
      </c>
      <c r="D46" s="351" t="s">
        <v>350</v>
      </c>
    </row>
    <row r="47" spans="1:4" ht="15">
      <c r="A47" s="113"/>
      <c r="B47" s="346"/>
      <c r="C47" s="45" t="s">
        <v>352</v>
      </c>
      <c r="D47" s="351" t="s">
        <v>351</v>
      </c>
    </row>
    <row r="48" spans="1:4" ht="15">
      <c r="A48" s="113"/>
      <c r="B48" s="346"/>
      <c r="C48" s="45" t="s">
        <v>395</v>
      </c>
      <c r="D48" s="351" t="s">
        <v>353</v>
      </c>
    </row>
    <row r="49" spans="1:4" ht="15">
      <c r="A49" s="113"/>
      <c r="B49" s="346"/>
      <c r="C49" s="45" t="s">
        <v>398</v>
      </c>
      <c r="D49" s="351" t="s">
        <v>353</v>
      </c>
    </row>
    <row r="50" spans="1:4" ht="15">
      <c r="A50" s="113"/>
      <c r="B50" s="346"/>
      <c r="C50" s="45" t="s">
        <v>158</v>
      </c>
      <c r="D50" s="351" t="s">
        <v>354</v>
      </c>
    </row>
    <row r="51" spans="1:4" ht="15">
      <c r="A51" s="113"/>
      <c r="B51" s="346"/>
      <c r="C51" s="45" t="s">
        <v>159</v>
      </c>
      <c r="D51" s="351" t="s">
        <v>355</v>
      </c>
    </row>
    <row r="52" spans="1:4" ht="15">
      <c r="A52" s="113"/>
      <c r="B52" s="346"/>
      <c r="C52" s="45" t="s">
        <v>46</v>
      </c>
      <c r="D52" s="351" t="s">
        <v>356</v>
      </c>
    </row>
    <row r="53" spans="1:4" ht="15">
      <c r="A53" s="113"/>
      <c r="B53" s="346"/>
      <c r="C53" s="45" t="s">
        <v>73</v>
      </c>
      <c r="D53" s="351" t="s">
        <v>357</v>
      </c>
    </row>
    <row r="54" spans="1:4" ht="15">
      <c r="A54" s="113"/>
      <c r="B54" s="346"/>
      <c r="C54" s="45" t="s">
        <v>74</v>
      </c>
      <c r="D54" s="351" t="s">
        <v>358</v>
      </c>
    </row>
    <row r="55" spans="1:4" ht="15">
      <c r="A55" s="113"/>
      <c r="B55" s="346"/>
      <c r="C55" s="45" t="s">
        <v>360</v>
      </c>
      <c r="D55" s="351" t="s">
        <v>359</v>
      </c>
    </row>
    <row r="56" spans="1:4" ht="15">
      <c r="A56" s="113"/>
      <c r="B56" s="346"/>
      <c r="C56" s="45" t="s">
        <v>75</v>
      </c>
      <c r="D56" s="350" t="s">
        <v>359</v>
      </c>
    </row>
    <row r="57" spans="1:4" ht="15">
      <c r="A57" s="113"/>
      <c r="B57" s="345" t="s">
        <v>58</v>
      </c>
      <c r="C57" s="328"/>
      <c r="D57" s="350" t="s">
        <v>56</v>
      </c>
    </row>
    <row r="58" spans="1:4" ht="15">
      <c r="A58" s="113"/>
      <c r="B58" s="345" t="s">
        <v>268</v>
      </c>
      <c r="C58" s="328"/>
      <c r="D58" s="351" t="s">
        <v>269</v>
      </c>
    </row>
    <row r="59" spans="1:4" ht="15">
      <c r="A59" s="113"/>
      <c r="B59" s="345" t="s">
        <v>408</v>
      </c>
      <c r="C59" s="328"/>
      <c r="D59" s="351"/>
    </row>
    <row r="60" spans="1:4" ht="15">
      <c r="A60" s="113"/>
      <c r="B60" s="346"/>
      <c r="C60" s="45" t="s">
        <v>362</v>
      </c>
      <c r="D60" s="350" t="s">
        <v>363</v>
      </c>
    </row>
    <row r="61" spans="1:4" ht="15">
      <c r="A61" s="113"/>
      <c r="B61" s="346"/>
      <c r="C61" s="45" t="s">
        <v>367</v>
      </c>
      <c r="D61" s="350" t="s">
        <v>368</v>
      </c>
    </row>
    <row r="62" spans="1:4" ht="15">
      <c r="A62" s="113"/>
      <c r="B62" s="346"/>
      <c r="C62" s="45" t="s">
        <v>399</v>
      </c>
      <c r="D62" s="350" t="s">
        <v>370</v>
      </c>
    </row>
    <row r="63" spans="1:4" ht="15">
      <c r="A63" s="113"/>
      <c r="B63" s="346"/>
      <c r="C63" s="45" t="s">
        <v>369</v>
      </c>
      <c r="D63" s="350" t="s">
        <v>371</v>
      </c>
    </row>
    <row r="64" spans="1:4" ht="15">
      <c r="A64" s="113"/>
      <c r="B64" s="347"/>
      <c r="C64" s="474" t="s">
        <v>877</v>
      </c>
      <c r="D64" s="470" t="s">
        <v>878</v>
      </c>
    </row>
    <row r="65" spans="1:4" s="45" customFormat="1" ht="21" customHeight="1">
      <c r="A65" s="47"/>
      <c r="D65" s="296"/>
    </row>
    <row r="66" spans="2:4" ht="12.75">
      <c r="B66" s="45"/>
      <c r="C66" s="45"/>
      <c r="D66" s="113"/>
    </row>
    <row r="67" spans="2:4" ht="12.75">
      <c r="B67" s="45"/>
      <c r="C67" s="45"/>
      <c r="D67" s="113"/>
    </row>
  </sheetData>
  <sheetProtection/>
  <hyperlinks>
    <hyperlink ref="D14" location="'Nota 3'!A1" display="'Nota 3'!A1"/>
    <hyperlink ref="D15" location="'Nota 4'!A1" display="'Nota 4'!A1"/>
    <hyperlink ref="D16" location="'Nota 5'!A1" display="'Nota 5'!A1"/>
    <hyperlink ref="D17" location="'Nota 6'!A1" display="'Nota 6'!A1"/>
    <hyperlink ref="D19" location="'Nota 7'!A1" display="'Nota 7'!A1"/>
    <hyperlink ref="D21" location="'Nota 9'!A1" display="'Nota 9'!A1"/>
    <hyperlink ref="D22" location="'Nota 10'!A1" display="'Nota 10'!A1"/>
    <hyperlink ref="D26" location="'Nota 14'!A1" display="'Nota 14'!A1"/>
    <hyperlink ref="D27" location="'Nota 15'!A1" display="'Nota 15'!A1"/>
    <hyperlink ref="D28" location="'Nota 16'!A1" display="'Nota 16'!A1"/>
    <hyperlink ref="D20" location="'Nota 8'!A1" display="'Nota 8'!A1"/>
    <hyperlink ref="D13" location="BG!A1" display="BG"/>
    <hyperlink ref="D42" location="ER!A1" display="ER"/>
    <hyperlink ref="D57" location="EVPN!A1" display="EVPN"/>
    <hyperlink ref="D58" location="EFE!A1" display="EFE"/>
    <hyperlink ref="D23" location="'Nota 11'!A1" display="Nota 11 y 12"/>
    <hyperlink ref="D24" location="'Nota 12'!A1" display="Nota 12"/>
    <hyperlink ref="D25" location="'Nota 13'!A1" display="Nota 13'"/>
    <hyperlink ref="D29" location="'Nota 17'!A1" display="Nota 17"/>
    <hyperlink ref="D30" location="'Nota 18'!A1" display="Nota 18"/>
    <hyperlink ref="D31" location="'Nota 19'!A1" display="Nota 19"/>
    <hyperlink ref="D32" location="'Nota 14'!A1" display="Nota 14"/>
    <hyperlink ref="D33" location="'Nota 19'!A1" display="Nota 19"/>
    <hyperlink ref="D34" location="'Nota 20'!A1" display="Nota 20"/>
    <hyperlink ref="D35" location="' Nota 21'!A1" display="Nota 21"/>
    <hyperlink ref="D36" location="' Nota 21'!A1" display="Nota 21"/>
    <hyperlink ref="D37" location="' Nota 21'!A1" display="Nota 21"/>
    <hyperlink ref="D38" location="' Nota 21'!A1" display="Nota 21"/>
    <hyperlink ref="D39" location="'Nota 22'!A1" display="Nota 22"/>
    <hyperlink ref="D40" location="'Nota 23'!A1" display="Nota 23"/>
    <hyperlink ref="D41" location="'Nota 24'!A1" display="Nota 24"/>
    <hyperlink ref="D43" location="'Nota 25'!A1" display="Nota 25"/>
    <hyperlink ref="D44" location="'Nota 26'!A1" display="Nota 26"/>
    <hyperlink ref="D45" location="'Nota 27'!A1" display="Nota 27"/>
    <hyperlink ref="D46" location="'Nota 27'!A1" display="N ota 27"/>
    <hyperlink ref="D47" location="'Nota 28'!A1" display="Nota 28"/>
    <hyperlink ref="D48" location="'Nota 29'!A1" display="Nota 29"/>
    <hyperlink ref="D49" location="'Nota 29'!A1" display="Nota 29"/>
    <hyperlink ref="D50" location="'Nota 30'!A1" display="Nota 30"/>
    <hyperlink ref="D51" location="'Nota 31'!A1" display="Nota 31"/>
    <hyperlink ref="D52" location="'Nota 32'!A1" display="Nota 32"/>
    <hyperlink ref="D53" location="'Nota 33'!A1" display="Nota 33"/>
    <hyperlink ref="D54" location="'Nota 34'!A1" display="Nota 34"/>
    <hyperlink ref="D55" location="'Nota 35'!A1" display="Nota 35"/>
    <hyperlink ref="D56" location="'Nota 35'!A1" display="Nota 35"/>
    <hyperlink ref="D61" location="'Nota 37'!A1" display="Nota 37"/>
    <hyperlink ref="D60" location="'Nota 36'!A1" display="Nota 36"/>
    <hyperlink ref="D12" location="'Nota 2'!A1" display="Nota 2"/>
    <hyperlink ref="D11" location="Nota1!A1" display="Nota 1"/>
    <hyperlink ref="D18" location="'Nota 5'!A1" display="Nota 5"/>
    <hyperlink ref="D64" location="'Nota 40'!A1" display="Nota 40"/>
    <hyperlink ref="D62" location="'Nota 38'!A1" display="Nota 38"/>
    <hyperlink ref="D63" location="'Nota 39'!A1" display="Nota 39"/>
  </hyperlinks>
  <printOptions/>
  <pageMargins left="0.7" right="0.7" top="0.75" bottom="0.75" header="0.3" footer="0.3"/>
  <pageSetup horizontalDpi="600" verticalDpi="600" orientation="portrait" r:id="rId2"/>
  <drawing r:id="rId1"/>
</worksheet>
</file>

<file path=xl/worksheets/sheet20.xml><?xml version="1.0" encoding="utf-8"?>
<worksheet xmlns="http://schemas.openxmlformats.org/spreadsheetml/2006/main" xmlns:r="http://schemas.openxmlformats.org/officeDocument/2006/relationships">
  <sheetPr codeName="Hoja19"/>
  <dimension ref="A1:M234"/>
  <sheetViews>
    <sheetView showGridLines="0" zoomScalePageLayoutView="0" workbookViewId="0" topLeftCell="A1">
      <pane xSplit="1" topLeftCell="B1" activePane="topRight" state="frozen"/>
      <selection pane="topLeft" activeCell="A1" sqref="A1"/>
      <selection pane="topRight" activeCell="A14" sqref="A14"/>
    </sheetView>
  </sheetViews>
  <sheetFormatPr defaultColWidth="11.421875" defaultRowHeight="15"/>
  <cols>
    <col min="1" max="1" width="45.140625" style="0" customWidth="1"/>
    <col min="2" max="2" width="18.28125" style="0" customWidth="1"/>
    <col min="3" max="3" width="26.140625" style="0" bestFit="1" customWidth="1"/>
    <col min="4" max="4" width="21.421875" style="322" bestFit="1" customWidth="1"/>
    <col min="5" max="5" width="20.421875" style="0" bestFit="1" customWidth="1"/>
    <col min="6" max="6" width="18.57421875" style="0" customWidth="1"/>
    <col min="7" max="7" width="2.7109375" style="0" customWidth="1"/>
    <col min="9" max="9" width="26.140625" style="322" bestFit="1" customWidth="1"/>
    <col min="10" max="10" width="21.421875" style="322" bestFit="1" customWidth="1"/>
    <col min="11" max="11" width="20.421875" style="0" bestFit="1" customWidth="1"/>
    <col min="12" max="12" width="17.7109375" style="0" customWidth="1"/>
  </cols>
  <sheetData>
    <row r="1" spans="1:12" ht="15" customHeight="1">
      <c r="A1" s="127" t="str">
        <f>Indice!C1</f>
        <v>IMPORT CENTER S.A.</v>
      </c>
      <c r="E1" s="176" t="s">
        <v>129</v>
      </c>
      <c r="L1" s="176" t="s">
        <v>129</v>
      </c>
    </row>
    <row r="2" ht="15" customHeight="1"/>
    <row r="3" ht="15" customHeight="1"/>
    <row r="4" spans="1:12" ht="15" customHeight="1">
      <c r="A4" s="355" t="s">
        <v>309</v>
      </c>
      <c r="B4" s="355"/>
      <c r="C4" s="355"/>
      <c r="D4" s="355"/>
      <c r="E4" s="355"/>
      <c r="F4" s="355"/>
      <c r="G4" s="355"/>
      <c r="H4" s="355"/>
      <c r="I4" s="355"/>
      <c r="J4" s="355"/>
      <c r="K4" s="355"/>
      <c r="L4" s="355"/>
    </row>
    <row r="5" ht="15" customHeight="1"/>
    <row r="6" ht="15" customHeight="1">
      <c r="A6" t="s">
        <v>836</v>
      </c>
    </row>
    <row r="7" ht="15" customHeight="1">
      <c r="A7" t="s">
        <v>313</v>
      </c>
    </row>
    <row r="8" s="322" customFormat="1" ht="15" customHeight="1"/>
    <row r="9" spans="1:12" ht="15" customHeight="1">
      <c r="A9" s="127" t="s">
        <v>65</v>
      </c>
      <c r="B9" s="269"/>
      <c r="C9" s="282"/>
      <c r="D9" s="282"/>
      <c r="E9" s="282"/>
      <c r="F9" s="269"/>
      <c r="H9" s="269"/>
      <c r="I9" s="282"/>
      <c r="J9" s="282"/>
      <c r="K9" s="282"/>
      <c r="L9" s="282"/>
    </row>
    <row r="10" spans="1:12" ht="15" customHeight="1">
      <c r="A10" s="26"/>
      <c r="B10" s="356"/>
      <c r="C10" s="444"/>
      <c r="D10" s="427">
        <f>_xlfn.IFERROR(IF(Indice!B6="","2XX2",YEAR(Indice!B6)),"2XX2")</f>
        <v>2021</v>
      </c>
      <c r="E10" s="444"/>
      <c r="F10" s="444"/>
      <c r="H10" s="444"/>
      <c r="I10" s="444"/>
      <c r="J10" s="427">
        <f>_xlfn.IFERROR(YEAR(Indice!B6-365),"2XX1")</f>
        <v>2020</v>
      </c>
      <c r="K10" s="444"/>
      <c r="L10" s="444"/>
    </row>
    <row r="11" spans="1:12" ht="15" customHeight="1">
      <c r="A11" s="162" t="s">
        <v>821</v>
      </c>
      <c r="B11" s="163" t="s">
        <v>116</v>
      </c>
      <c r="C11" s="339" t="s">
        <v>819</v>
      </c>
      <c r="D11" s="339" t="s">
        <v>310</v>
      </c>
      <c r="E11" s="162" t="s">
        <v>825</v>
      </c>
      <c r="F11" s="163" t="s">
        <v>118</v>
      </c>
      <c r="H11" s="163" t="s">
        <v>116</v>
      </c>
      <c r="I11" s="339" t="s">
        <v>819</v>
      </c>
      <c r="J11" s="339" t="s">
        <v>310</v>
      </c>
      <c r="K11" s="162" t="s">
        <v>825</v>
      </c>
      <c r="L11" s="163" t="s">
        <v>118</v>
      </c>
    </row>
    <row r="12" spans="1:12" s="533" customFormat="1" ht="15" customHeight="1">
      <c r="A12" s="547" t="s">
        <v>954</v>
      </c>
      <c r="B12" s="548"/>
      <c r="C12" s="549"/>
      <c r="D12" s="549"/>
      <c r="E12" s="547"/>
      <c r="F12" s="548"/>
      <c r="H12" s="548"/>
      <c r="I12" s="549"/>
      <c r="J12" s="549"/>
      <c r="K12" s="547"/>
      <c r="L12" s="548"/>
    </row>
    <row r="13" spans="1:12" ht="15" customHeight="1">
      <c r="A13" s="533" t="s">
        <v>929</v>
      </c>
      <c r="B13" s="545">
        <v>44750</v>
      </c>
      <c r="C13" s="336" t="s">
        <v>410</v>
      </c>
      <c r="D13" s="322" t="str">
        <f>_xlfn.IFERROR(VLOOKUP(C13,'Base de Monedas'!A:B,2,0),"")</f>
        <v>Guaraní</v>
      </c>
      <c r="E13" s="485">
        <v>1000000</v>
      </c>
      <c r="F13" s="533" t="s">
        <v>928</v>
      </c>
      <c r="H13" s="545">
        <v>44311</v>
      </c>
      <c r="I13" s="336" t="s">
        <v>942</v>
      </c>
      <c r="J13" s="533" t="s">
        <v>943</v>
      </c>
      <c r="K13" s="485">
        <v>1000000</v>
      </c>
      <c r="L13" s="533" t="s">
        <v>928</v>
      </c>
    </row>
    <row r="14" spans="1:12" ht="15" customHeight="1">
      <c r="A14" s="650" t="s">
        <v>929</v>
      </c>
      <c r="B14" s="545">
        <v>44766</v>
      </c>
      <c r="C14" s="336" t="s">
        <v>410</v>
      </c>
      <c r="D14" s="650" t="str">
        <f>_xlfn.IFERROR(VLOOKUP(C14,'Base de Monedas'!A:B,2,0),"")</f>
        <v>Guaraní</v>
      </c>
      <c r="E14" s="485">
        <v>1500000</v>
      </c>
      <c r="F14" s="650" t="s">
        <v>928</v>
      </c>
      <c r="H14" s="545">
        <v>44448</v>
      </c>
      <c r="I14" s="336" t="s">
        <v>942</v>
      </c>
      <c r="J14" s="533" t="s">
        <v>943</v>
      </c>
      <c r="K14" s="485">
        <v>750000</v>
      </c>
      <c r="L14" s="533" t="s">
        <v>928</v>
      </c>
    </row>
    <row r="15" spans="1:12" ht="15" customHeight="1">
      <c r="A15" s="650" t="s">
        <v>929</v>
      </c>
      <c r="B15" s="545">
        <v>44809</v>
      </c>
      <c r="C15" s="336" t="s">
        <v>410</v>
      </c>
      <c r="D15" s="322" t="str">
        <f>_xlfn.IFERROR(VLOOKUP(C15,'Base de Monedas'!A:B,2,0),"")</f>
        <v>Guaraní</v>
      </c>
      <c r="E15" s="485">
        <v>1000000</v>
      </c>
      <c r="F15" s="533" t="s">
        <v>928</v>
      </c>
      <c r="H15" s="545">
        <v>44407</v>
      </c>
      <c r="I15" s="336" t="s">
        <v>942</v>
      </c>
      <c r="J15" s="533" t="s">
        <v>943</v>
      </c>
      <c r="K15" s="485">
        <v>1500000</v>
      </c>
      <c r="L15" s="533" t="s">
        <v>928</v>
      </c>
    </row>
    <row r="16" spans="1:12" s="641" customFormat="1" ht="15" customHeight="1">
      <c r="A16" s="641" t="s">
        <v>929</v>
      </c>
      <c r="B16" s="545">
        <v>44724</v>
      </c>
      <c r="C16" s="336" t="s">
        <v>410</v>
      </c>
      <c r="D16" s="650" t="str">
        <f>_xlfn.IFERROR(VLOOKUP(C16,'Base de Monedas'!A:B,2,0),"")</f>
        <v>Guaraní</v>
      </c>
      <c r="E16" s="485">
        <v>1000000</v>
      </c>
      <c r="F16" s="650" t="s">
        <v>928</v>
      </c>
      <c r="H16" s="545">
        <v>44371</v>
      </c>
      <c r="I16" s="336" t="s">
        <v>942</v>
      </c>
      <c r="J16" s="641" t="s">
        <v>943</v>
      </c>
      <c r="K16" s="485">
        <v>1000000</v>
      </c>
      <c r="L16" s="641" t="s">
        <v>928</v>
      </c>
    </row>
    <row r="17" spans="1:12" s="533" customFormat="1" ht="15" customHeight="1">
      <c r="A17" s="533" t="s">
        <v>930</v>
      </c>
      <c r="B17" s="545">
        <v>44760</v>
      </c>
      <c r="C17" s="336" t="s">
        <v>410</v>
      </c>
      <c r="D17" s="533" t="str">
        <f>_xlfn.IFERROR(VLOOKUP(C17,'Base de Monedas'!A:B,2,0),"")</f>
        <v>Guaraní</v>
      </c>
      <c r="E17" s="485">
        <v>1300000</v>
      </c>
      <c r="F17" s="533" t="s">
        <v>928</v>
      </c>
      <c r="H17" s="545">
        <v>44245</v>
      </c>
      <c r="I17" s="336" t="s">
        <v>942</v>
      </c>
      <c r="J17" s="533" t="s">
        <v>943</v>
      </c>
      <c r="K17" s="485">
        <v>1000000</v>
      </c>
      <c r="L17" s="533" t="s">
        <v>928</v>
      </c>
    </row>
    <row r="18" spans="1:12" s="533" customFormat="1" ht="15" customHeight="1">
      <c r="A18" s="357" t="s">
        <v>930</v>
      </c>
      <c r="B18" s="545">
        <v>44758</v>
      </c>
      <c r="C18" s="336" t="s">
        <v>410</v>
      </c>
      <c r="D18" s="533" t="str">
        <f>_xlfn.IFERROR(VLOOKUP(C18,'Base de Monedas'!A:B,2,0),"")</f>
        <v>Guaraní</v>
      </c>
      <c r="E18" s="485">
        <v>1000000</v>
      </c>
      <c r="F18" s="533" t="s">
        <v>928</v>
      </c>
      <c r="H18" s="545">
        <v>44331</v>
      </c>
      <c r="I18" s="336" t="s">
        <v>942</v>
      </c>
      <c r="J18" s="533" t="s">
        <v>943</v>
      </c>
      <c r="K18" s="485">
        <v>1000000</v>
      </c>
      <c r="L18" s="533" t="s">
        <v>928</v>
      </c>
    </row>
    <row r="19" spans="1:12" s="533" customFormat="1" ht="15" customHeight="1">
      <c r="A19" s="357" t="s">
        <v>930</v>
      </c>
      <c r="B19" s="545">
        <v>44822</v>
      </c>
      <c r="C19" s="336" t="s">
        <v>410</v>
      </c>
      <c r="D19" s="533" t="str">
        <f>_xlfn.IFERROR(VLOOKUP(C19,'Base de Monedas'!A:B,2,0),"")</f>
        <v>Guaraní</v>
      </c>
      <c r="E19" s="485">
        <v>1500000</v>
      </c>
      <c r="F19" s="533" t="s">
        <v>928</v>
      </c>
      <c r="H19" s="545">
        <v>44392</v>
      </c>
      <c r="I19" s="336" t="s">
        <v>942</v>
      </c>
      <c r="J19" s="641" t="s">
        <v>943</v>
      </c>
      <c r="K19" s="485">
        <v>1000000</v>
      </c>
      <c r="L19" s="641" t="s">
        <v>928</v>
      </c>
    </row>
    <row r="20" spans="1:12" s="533" customFormat="1" ht="15" customHeight="1">
      <c r="A20" s="357" t="s">
        <v>931</v>
      </c>
      <c r="B20" s="545">
        <v>44728</v>
      </c>
      <c r="C20" s="336" t="s">
        <v>410</v>
      </c>
      <c r="D20" s="533" t="str">
        <f>_xlfn.IFERROR(VLOOKUP(C20,'Base de Monedas'!A:B,2,0),"")</f>
        <v>Guaraní</v>
      </c>
      <c r="E20" s="485">
        <v>900000</v>
      </c>
      <c r="F20" s="533" t="s">
        <v>928</v>
      </c>
      <c r="H20" s="545">
        <v>44469</v>
      </c>
      <c r="I20" s="336" t="s">
        <v>942</v>
      </c>
      <c r="J20" s="533" t="s">
        <v>943</v>
      </c>
      <c r="K20" s="485">
        <v>1000000</v>
      </c>
      <c r="L20" s="533" t="s">
        <v>928</v>
      </c>
    </row>
    <row r="21" spans="1:12" s="533" customFormat="1" ht="15" customHeight="1">
      <c r="A21" s="357" t="s">
        <v>931</v>
      </c>
      <c r="B21" s="545">
        <v>44833</v>
      </c>
      <c r="C21" s="336" t="s">
        <v>410</v>
      </c>
      <c r="D21" s="533" t="str">
        <f>_xlfn.IFERROR(VLOOKUP(C21,'Base de Monedas'!A:B,2,0),"")</f>
        <v>Guaraní</v>
      </c>
      <c r="E21" s="485">
        <v>900000</v>
      </c>
      <c r="F21" s="533" t="s">
        <v>928</v>
      </c>
      <c r="H21" s="545">
        <v>44345</v>
      </c>
      <c r="I21" s="336" t="s">
        <v>942</v>
      </c>
      <c r="J21" s="533" t="s">
        <v>943</v>
      </c>
      <c r="K21" s="485">
        <v>400000</v>
      </c>
      <c r="L21" s="533" t="s">
        <v>928</v>
      </c>
    </row>
    <row r="22" spans="1:12" s="533" customFormat="1" ht="15" customHeight="1">
      <c r="A22" s="357" t="s">
        <v>931</v>
      </c>
      <c r="B22" s="545">
        <v>44648</v>
      </c>
      <c r="C22" s="336" t="s">
        <v>410</v>
      </c>
      <c r="D22" s="650" t="str">
        <f>_xlfn.IFERROR(VLOOKUP(C22,'Base de Monedas'!A:B,2,0),"")</f>
        <v>Guaraní</v>
      </c>
      <c r="E22" s="485">
        <v>100000</v>
      </c>
      <c r="F22" s="650" t="s">
        <v>928</v>
      </c>
      <c r="H22" s="545">
        <v>44325</v>
      </c>
      <c r="I22" s="336" t="s">
        <v>942</v>
      </c>
      <c r="J22" s="533" t="s">
        <v>943</v>
      </c>
      <c r="K22" s="485">
        <v>640000</v>
      </c>
      <c r="L22" s="533" t="s">
        <v>928</v>
      </c>
    </row>
    <row r="23" spans="1:12" s="533" customFormat="1" ht="15" customHeight="1">
      <c r="A23" s="357" t="s">
        <v>931</v>
      </c>
      <c r="B23" s="545">
        <v>44849</v>
      </c>
      <c r="C23" s="336" t="s">
        <v>410</v>
      </c>
      <c r="D23" s="650" t="str">
        <f>_xlfn.IFERROR(VLOOKUP(C23,'Base de Monedas'!A:B,2,0),"")</f>
        <v>Guaraní</v>
      </c>
      <c r="E23" s="485">
        <v>900000</v>
      </c>
      <c r="F23" s="650" t="s">
        <v>928</v>
      </c>
      <c r="H23" s="545">
        <v>44316</v>
      </c>
      <c r="I23" s="336" t="s">
        <v>942</v>
      </c>
      <c r="J23" s="533" t="s">
        <v>943</v>
      </c>
      <c r="K23" s="485">
        <v>500000</v>
      </c>
      <c r="L23" s="533" t="s">
        <v>928</v>
      </c>
    </row>
    <row r="24" spans="1:11" s="650" customFormat="1" ht="15" customHeight="1">
      <c r="A24" s="357" t="s">
        <v>931</v>
      </c>
      <c r="B24" s="545">
        <v>44664</v>
      </c>
      <c r="C24" s="336" t="s">
        <v>410</v>
      </c>
      <c r="D24" s="650" t="str">
        <f>_xlfn.IFERROR(VLOOKUP(C24,'Base de Monedas'!A:B,2,0),"")</f>
        <v>Guaraní</v>
      </c>
      <c r="E24" s="485">
        <v>100000</v>
      </c>
      <c r="F24" s="650" t="s">
        <v>928</v>
      </c>
      <c r="H24" s="545"/>
      <c r="I24" s="336"/>
      <c r="K24" s="485"/>
    </row>
    <row r="25" spans="1:12" s="533" customFormat="1" ht="15" customHeight="1">
      <c r="A25" s="357" t="s">
        <v>932</v>
      </c>
      <c r="B25" s="545">
        <v>44603</v>
      </c>
      <c r="C25" s="336" t="s">
        <v>410</v>
      </c>
      <c r="D25" s="533" t="str">
        <f>_xlfn.IFERROR(VLOOKUP(C25,'Base de Monedas'!A:B,2,0),"")</f>
        <v>Guaraní</v>
      </c>
      <c r="E25" s="485">
        <v>1000000</v>
      </c>
      <c r="F25" s="533" t="s">
        <v>928</v>
      </c>
      <c r="H25" s="545">
        <v>44508</v>
      </c>
      <c r="I25" s="336" t="s">
        <v>942</v>
      </c>
      <c r="J25" s="533" t="s">
        <v>943</v>
      </c>
      <c r="K25" s="485">
        <v>900000</v>
      </c>
      <c r="L25" s="533" t="s">
        <v>928</v>
      </c>
    </row>
    <row r="26" spans="1:12" s="533" customFormat="1" ht="15" customHeight="1">
      <c r="A26" s="357" t="s">
        <v>932</v>
      </c>
      <c r="B26" s="545">
        <v>44792</v>
      </c>
      <c r="C26" s="336" t="s">
        <v>410</v>
      </c>
      <c r="D26" s="533" t="str">
        <f>_xlfn.IFERROR(VLOOKUP(C26,'Base de Monedas'!A:B,2,0),"")</f>
        <v>Guaraní</v>
      </c>
      <c r="E26" s="485">
        <v>1000000</v>
      </c>
      <c r="F26" s="533" t="s">
        <v>928</v>
      </c>
      <c r="H26" s="545">
        <v>44470</v>
      </c>
      <c r="I26" s="336" t="s">
        <v>942</v>
      </c>
      <c r="J26" s="533" t="s">
        <v>943</v>
      </c>
      <c r="K26" s="485">
        <v>750000</v>
      </c>
      <c r="L26" s="533" t="s">
        <v>928</v>
      </c>
    </row>
    <row r="27" spans="1:12" s="533" customFormat="1" ht="15" customHeight="1">
      <c r="A27" s="357" t="s">
        <v>932</v>
      </c>
      <c r="B27" s="545">
        <v>44830</v>
      </c>
      <c r="C27" s="336" t="s">
        <v>410</v>
      </c>
      <c r="D27" s="533" t="str">
        <f>_xlfn.IFERROR(VLOOKUP(C27,'Base de Monedas'!A:B,2,0),"")</f>
        <v>Guaraní</v>
      </c>
      <c r="E27" s="485">
        <v>1000000</v>
      </c>
      <c r="F27" s="533" t="s">
        <v>928</v>
      </c>
      <c r="H27" s="545">
        <v>44428</v>
      </c>
      <c r="I27" s="336" t="s">
        <v>942</v>
      </c>
      <c r="J27" s="533" t="s">
        <v>943</v>
      </c>
      <c r="K27" s="485">
        <v>750000</v>
      </c>
      <c r="L27" s="533" t="s">
        <v>928</v>
      </c>
    </row>
    <row r="28" spans="1:12" s="641" customFormat="1" ht="15" customHeight="1">
      <c r="A28" s="357" t="s">
        <v>932</v>
      </c>
      <c r="B28" s="545">
        <v>44869</v>
      </c>
      <c r="C28" s="336" t="s">
        <v>410</v>
      </c>
      <c r="D28" s="650" t="str">
        <f>_xlfn.IFERROR(VLOOKUP(C28,'Base de Monedas'!A:B,2,0),"")</f>
        <v>Guaraní</v>
      </c>
      <c r="E28" s="485">
        <v>1000000</v>
      </c>
      <c r="F28" s="650" t="s">
        <v>928</v>
      </c>
      <c r="H28" s="545">
        <v>44242</v>
      </c>
      <c r="I28" s="336" t="s">
        <v>942</v>
      </c>
      <c r="J28" s="641" t="s">
        <v>943</v>
      </c>
      <c r="K28" s="485">
        <v>750000</v>
      </c>
      <c r="L28" s="641" t="s">
        <v>928</v>
      </c>
    </row>
    <row r="29" spans="1:12" s="641" customFormat="1" ht="15" customHeight="1">
      <c r="A29" s="357" t="s">
        <v>932</v>
      </c>
      <c r="B29" s="545">
        <v>44886</v>
      </c>
      <c r="C29" s="336" t="s">
        <v>410</v>
      </c>
      <c r="D29" s="650" t="str">
        <f>_xlfn.IFERROR(VLOOKUP(C29,'Base de Monedas'!A:B,2,0),"")</f>
        <v>Guaraní</v>
      </c>
      <c r="E29" s="485">
        <v>2000000</v>
      </c>
      <c r="F29" s="650" t="s">
        <v>928</v>
      </c>
      <c r="H29" s="545">
        <v>44225</v>
      </c>
      <c r="I29" s="336" t="s">
        <v>942</v>
      </c>
      <c r="J29" s="641" t="s">
        <v>943</v>
      </c>
      <c r="K29" s="485">
        <v>800000</v>
      </c>
      <c r="L29" s="641" t="s">
        <v>928</v>
      </c>
    </row>
    <row r="30" spans="1:12" s="533" customFormat="1" ht="15" customHeight="1">
      <c r="A30" s="562" t="s">
        <v>944</v>
      </c>
      <c r="B30" s="552"/>
      <c r="C30" s="360"/>
      <c r="D30" s="359"/>
      <c r="E30" s="546"/>
      <c r="F30" s="359"/>
      <c r="G30" s="359"/>
      <c r="H30" s="552">
        <v>44198</v>
      </c>
      <c r="I30" s="360" t="s">
        <v>942</v>
      </c>
      <c r="J30" s="359" t="s">
        <v>943</v>
      </c>
      <c r="K30" s="546">
        <v>1300000</v>
      </c>
      <c r="L30" s="359" t="s">
        <v>928</v>
      </c>
    </row>
    <row r="31" spans="1:11" s="533" customFormat="1" ht="15" customHeight="1">
      <c r="A31" s="357"/>
      <c r="B31" s="545"/>
      <c r="C31" s="336"/>
      <c r="E31" s="563">
        <f>SUM(E13:E30)</f>
        <v>17200000</v>
      </c>
      <c r="H31" s="545"/>
      <c r="I31" s="336"/>
      <c r="K31" s="563">
        <f>SUM(K13:K30)</f>
        <v>15040000</v>
      </c>
    </row>
    <row r="32" spans="1:11" s="533" customFormat="1" ht="15" customHeight="1">
      <c r="A32" s="547" t="s">
        <v>933</v>
      </c>
      <c r="B32" s="545"/>
      <c r="C32" s="336"/>
      <c r="D32" s="533">
        <f>_xlfn.IFERROR(VLOOKUP(C32,'Base de Monedas'!A:B,2,0),"")</f>
      </c>
      <c r="E32" s="485"/>
      <c r="H32" s="545"/>
      <c r="I32" s="336"/>
      <c r="K32" s="485"/>
    </row>
    <row r="33" spans="1:12" s="533" customFormat="1" ht="15" customHeight="1">
      <c r="A33" s="562" t="s">
        <v>934</v>
      </c>
      <c r="B33" s="552"/>
      <c r="C33" s="360" t="s">
        <v>410</v>
      </c>
      <c r="D33" s="359" t="str">
        <f>_xlfn.IFERROR(VLOOKUP(C33,'Base de Monedas'!A:B,2,0),"")</f>
        <v>Guaraní</v>
      </c>
      <c r="E33" s="546">
        <v>0</v>
      </c>
      <c r="F33" s="359" t="s">
        <v>928</v>
      </c>
      <c r="G33" s="359"/>
      <c r="H33" s="552"/>
      <c r="I33" s="360" t="s">
        <v>942</v>
      </c>
      <c r="J33" s="359" t="s">
        <v>943</v>
      </c>
      <c r="K33" s="546">
        <v>0</v>
      </c>
      <c r="L33" s="359" t="s">
        <v>928</v>
      </c>
    </row>
    <row r="34" spans="1:11" s="533" customFormat="1" ht="15" customHeight="1">
      <c r="A34" s="357"/>
      <c r="B34" s="545"/>
      <c r="C34" s="336"/>
      <c r="E34" s="485">
        <f>+E33</f>
        <v>0</v>
      </c>
      <c r="H34" s="545"/>
      <c r="I34" s="336"/>
      <c r="K34" s="563">
        <v>0</v>
      </c>
    </row>
    <row r="35" spans="1:11" s="533" customFormat="1" ht="15" customHeight="1">
      <c r="A35" s="357" t="s">
        <v>119</v>
      </c>
      <c r="C35" s="336"/>
      <c r="E35" s="485"/>
      <c r="H35" s="545"/>
      <c r="I35" s="336"/>
      <c r="K35" s="485"/>
    </row>
    <row r="36" spans="1:11" s="533" customFormat="1" ht="15" customHeight="1">
      <c r="A36" s="550"/>
      <c r="C36" s="336"/>
      <c r="E36" s="485"/>
      <c r="H36" s="550"/>
      <c r="I36" s="336"/>
      <c r="K36" s="485"/>
    </row>
    <row r="37" spans="1:12" s="533" customFormat="1" ht="15" customHeight="1">
      <c r="A37" s="542" t="s">
        <v>935</v>
      </c>
      <c r="C37" s="336"/>
      <c r="E37" s="485"/>
      <c r="H37" s="550"/>
      <c r="I37" s="336"/>
      <c r="J37" s="543"/>
      <c r="K37" s="485"/>
      <c r="L37" s="543"/>
    </row>
    <row r="38" spans="1:11" s="622" customFormat="1" ht="15" customHeight="1">
      <c r="A38" s="550"/>
      <c r="B38" s="545"/>
      <c r="C38" s="336"/>
      <c r="E38" s="485"/>
      <c r="H38" s="550" t="s">
        <v>937</v>
      </c>
      <c r="I38" s="336"/>
      <c r="K38" s="485"/>
    </row>
    <row r="39" spans="1:12" s="533" customFormat="1" ht="15" customHeight="1">
      <c r="A39" s="651" t="s">
        <v>1008</v>
      </c>
      <c r="B39" s="545">
        <v>44917</v>
      </c>
      <c r="C39" s="336" t="s">
        <v>410</v>
      </c>
      <c r="D39" s="554" t="str">
        <f>_xlfn.IFERROR(VLOOKUP(C39,'Base de Monedas'!A:B,2,0),"")</f>
        <v>Guaraní</v>
      </c>
      <c r="E39" s="485">
        <v>1760000</v>
      </c>
      <c r="F39" s="554" t="s">
        <v>928</v>
      </c>
      <c r="H39" s="545">
        <v>44488</v>
      </c>
      <c r="I39" s="336" t="s">
        <v>942</v>
      </c>
      <c r="J39" s="641" t="s">
        <v>943</v>
      </c>
      <c r="K39" s="485">
        <v>1400000</v>
      </c>
      <c r="L39" s="641" t="s">
        <v>928</v>
      </c>
    </row>
    <row r="40" spans="1:12" s="533" customFormat="1" ht="15" customHeight="1">
      <c r="A40" s="550"/>
      <c r="B40" s="545"/>
      <c r="C40" s="336"/>
      <c r="E40" s="485"/>
      <c r="H40" s="545"/>
      <c r="I40" s="336"/>
      <c r="J40" s="543"/>
      <c r="K40" s="485"/>
      <c r="L40" s="543"/>
    </row>
    <row r="41" spans="1:12" ht="15" customHeight="1">
      <c r="A41" s="630"/>
      <c r="B41" s="631"/>
      <c r="C41" s="632"/>
      <c r="D41" s="631">
        <f>_xlfn.IFERROR(VLOOKUP(C41,'Base de Monedas'!A:B,2,0),"")</f>
      </c>
      <c r="E41" s="633">
        <f>SUM(E38:E40)</f>
        <v>1760000</v>
      </c>
      <c r="F41" s="631"/>
      <c r="G41" s="631"/>
      <c r="H41" s="634"/>
      <c r="I41" s="632"/>
      <c r="J41" s="631">
        <f>_xlfn.IFERROR(VLOOKUP(I41,'Base de Monedas'!A:B,2,0),"")</f>
      </c>
      <c r="K41" s="633">
        <f>+K39</f>
        <v>1400000</v>
      </c>
      <c r="L41" s="631"/>
    </row>
    <row r="42" spans="1:11" ht="15" customHeight="1">
      <c r="A42" s="162" t="s">
        <v>820</v>
      </c>
      <c r="C42" s="336"/>
      <c r="D42" s="322">
        <f>_xlfn.IFERROR(VLOOKUP(C42,'Base de Monedas'!A:B,2,0),"")</f>
      </c>
      <c r="E42" s="485"/>
      <c r="H42" s="545"/>
      <c r="I42" s="336"/>
      <c r="J42" s="322">
        <f>_xlfn.IFERROR(VLOOKUP(I42,'Base de Monedas'!A:B,2,0),"")</f>
      </c>
      <c r="K42" s="485"/>
    </row>
    <row r="43" spans="1:11" ht="15" customHeight="1">
      <c r="A43" s="322" t="s">
        <v>818</v>
      </c>
      <c r="C43" s="336"/>
      <c r="D43" s="322">
        <f>_xlfn.IFERROR(VLOOKUP(C43,'Base de Monedas'!A:B,2,0),"")</f>
      </c>
      <c r="E43" s="485"/>
      <c r="H43" s="545"/>
      <c r="I43" s="336"/>
      <c r="J43" s="322">
        <f>_xlfn.IFERROR(VLOOKUP(I43,'Base de Monedas'!A:B,2,0),"")</f>
      </c>
      <c r="K43" s="485"/>
    </row>
    <row r="44" spans="1:11" ht="15" customHeight="1">
      <c r="A44" s="322" t="s">
        <v>818</v>
      </c>
      <c r="C44" s="336"/>
      <c r="D44" s="322">
        <f>_xlfn.IFERROR(VLOOKUP(C44,'Base de Monedas'!A:B,2,0),"")</f>
      </c>
      <c r="E44" s="485"/>
      <c r="H44" s="545"/>
      <c r="I44" s="336"/>
      <c r="J44" s="322">
        <f>_xlfn.IFERROR(VLOOKUP(I44,'Base de Monedas'!A:B,2,0),"")</f>
      </c>
      <c r="K44" s="485"/>
    </row>
    <row r="45" spans="1:11" ht="15" customHeight="1">
      <c r="A45" s="357" t="s">
        <v>119</v>
      </c>
      <c r="C45" s="336"/>
      <c r="D45" s="322">
        <f>_xlfn.IFERROR(VLOOKUP(C45,'Base de Monedas'!A:B,2,0),"")</f>
      </c>
      <c r="E45" s="485"/>
      <c r="H45" s="545"/>
      <c r="I45" s="336"/>
      <c r="J45" s="322">
        <f>_xlfn.IFERROR(VLOOKUP(I45,'Base de Monedas'!A:B,2,0),"")</f>
      </c>
      <c r="K45" s="485"/>
    </row>
    <row r="46" spans="1:11" ht="15" customHeight="1">
      <c r="A46" t="s">
        <v>237</v>
      </c>
      <c r="C46" s="336"/>
      <c r="D46" s="322">
        <f>_xlfn.IFERROR(VLOOKUP(C46,'Base de Monedas'!A:B,2,0),"")</f>
      </c>
      <c r="E46" s="485"/>
      <c r="H46" s="545"/>
      <c r="I46" s="336"/>
      <c r="J46" s="322">
        <f>_xlfn.IFERROR(VLOOKUP(I46,'Base de Monedas'!A:B,2,0),"")</f>
      </c>
      <c r="K46" s="485"/>
    </row>
    <row r="47" spans="1:11" ht="15" customHeight="1">
      <c r="A47" s="357" t="s">
        <v>120</v>
      </c>
      <c r="C47" s="336"/>
      <c r="D47" s="322">
        <f>_xlfn.IFERROR(VLOOKUP(C47,'Base de Monedas'!A:B,2,0),"")</f>
      </c>
      <c r="E47" s="485"/>
      <c r="H47" s="545"/>
      <c r="I47" s="336"/>
      <c r="J47" s="322">
        <f>_xlfn.IFERROR(VLOOKUP(I47,'Base de Monedas'!A:B,2,0),"")</f>
      </c>
      <c r="K47" s="485"/>
    </row>
    <row r="48" spans="1:11" s="533" customFormat="1" ht="15" customHeight="1">
      <c r="A48" s="357"/>
      <c r="C48" s="336"/>
      <c r="E48" s="485"/>
      <c r="H48" s="545"/>
      <c r="I48" s="336"/>
      <c r="K48" s="485"/>
    </row>
    <row r="49" spans="1:11" ht="15" customHeight="1">
      <c r="A49" s="127" t="s">
        <v>822</v>
      </c>
      <c r="C49" s="336"/>
      <c r="D49" s="322">
        <f>_xlfn.IFERROR(VLOOKUP(C49,'Base de Monedas'!A:B,2,0),"")</f>
      </c>
      <c r="E49" s="485"/>
      <c r="H49" s="545"/>
      <c r="I49" s="336"/>
      <c r="J49" s="322">
        <f>_xlfn.IFERROR(VLOOKUP(I49,'Base de Monedas'!A:B,2,0),"")</f>
      </c>
      <c r="K49" s="485"/>
    </row>
    <row r="50" spans="1:11" ht="15" customHeight="1">
      <c r="A50" s="127" t="s">
        <v>955</v>
      </c>
      <c r="C50" s="336"/>
      <c r="D50" s="322">
        <f>_xlfn.IFERROR(VLOOKUP(C50,'Base de Monedas'!A:B,2,0),"")</f>
      </c>
      <c r="E50" s="485"/>
      <c r="H50" s="545"/>
      <c r="I50" s="336"/>
      <c r="J50" s="322">
        <f>_xlfn.IFERROR(VLOOKUP(I50,'Base de Monedas'!A:B,2,0),"")</f>
      </c>
      <c r="K50" s="485"/>
    </row>
    <row r="51" spans="1:12" s="533" customFormat="1" ht="15" customHeight="1">
      <c r="A51" s="533" t="s">
        <v>945</v>
      </c>
      <c r="B51" s="545">
        <v>44750</v>
      </c>
      <c r="C51" s="336" t="s">
        <v>410</v>
      </c>
      <c r="D51" s="533" t="str">
        <f>_xlfn.IFERROR(VLOOKUP(C51,'Base de Monedas'!A:B,2,0),"")</f>
        <v>Guaraní</v>
      </c>
      <c r="E51" s="485">
        <f>20342*3</f>
        <v>61026</v>
      </c>
      <c r="F51" s="543" t="s">
        <v>928</v>
      </c>
      <c r="H51" s="545">
        <v>44311</v>
      </c>
      <c r="I51" s="336" t="s">
        <v>942</v>
      </c>
      <c r="J51" s="543" t="s">
        <v>943</v>
      </c>
      <c r="K51" s="485">
        <v>29384</v>
      </c>
      <c r="L51" s="543" t="s">
        <v>928</v>
      </c>
    </row>
    <row r="52" spans="1:12" s="533" customFormat="1" ht="15" customHeight="1">
      <c r="A52" s="533" t="s">
        <v>945</v>
      </c>
      <c r="B52" s="545">
        <v>44766</v>
      </c>
      <c r="C52" s="336" t="s">
        <v>410</v>
      </c>
      <c r="D52" s="533" t="str">
        <f>_xlfn.IFERROR(VLOOKUP(C52,'Base de Monedas'!A:B,2,0),"")</f>
        <v>Guaraní</v>
      </c>
      <c r="E52" s="485">
        <f>30514*3</f>
        <v>91542</v>
      </c>
      <c r="F52" s="543" t="s">
        <v>928</v>
      </c>
      <c r="H52" s="545">
        <v>44448</v>
      </c>
      <c r="I52" s="336" t="s">
        <v>942</v>
      </c>
      <c r="J52" s="543" t="s">
        <v>943</v>
      </c>
      <c r="K52" s="485">
        <v>48822</v>
      </c>
      <c r="L52" s="543" t="s">
        <v>928</v>
      </c>
    </row>
    <row r="53" spans="1:12" s="533" customFormat="1" ht="15" customHeight="1">
      <c r="A53" s="533" t="s">
        <v>945</v>
      </c>
      <c r="B53" s="545">
        <v>44809</v>
      </c>
      <c r="C53" s="336" t="s">
        <v>410</v>
      </c>
      <c r="D53" s="640" t="str">
        <f>_xlfn.IFERROR(VLOOKUP(C53,'Base de Monedas'!A:B,2,0),"")</f>
        <v>Guaraní</v>
      </c>
      <c r="E53" s="485">
        <f>20342*3</f>
        <v>61026</v>
      </c>
      <c r="F53" s="640" t="s">
        <v>928</v>
      </c>
      <c r="H53" s="545">
        <v>44407</v>
      </c>
      <c r="I53" s="336" t="s">
        <v>942</v>
      </c>
      <c r="J53" s="543" t="s">
        <v>943</v>
      </c>
      <c r="K53" s="485">
        <v>103747</v>
      </c>
      <c r="L53" s="543" t="s">
        <v>928</v>
      </c>
    </row>
    <row r="54" spans="1:12" s="641" customFormat="1" ht="15" customHeight="1">
      <c r="A54" s="641" t="s">
        <v>945</v>
      </c>
      <c r="B54" s="545">
        <v>44724</v>
      </c>
      <c r="C54" s="336" t="s">
        <v>410</v>
      </c>
      <c r="D54" s="650" t="str">
        <f>_xlfn.IFERROR(VLOOKUP(C54,'Base de Monedas'!A:B,2,0),"")</f>
        <v>Guaraní</v>
      </c>
      <c r="E54" s="485">
        <f>17630+17630+11753</f>
        <v>47013</v>
      </c>
      <c r="F54" s="650" t="s">
        <v>928</v>
      </c>
      <c r="H54" s="545">
        <v>44371</v>
      </c>
      <c r="I54" s="336" t="s">
        <v>942</v>
      </c>
      <c r="J54" s="641" t="s">
        <v>943</v>
      </c>
      <c r="K54" s="485">
        <v>45616</v>
      </c>
      <c r="L54" s="641" t="s">
        <v>928</v>
      </c>
    </row>
    <row r="55" spans="1:12" s="533" customFormat="1" ht="15" customHeight="1">
      <c r="A55" s="533" t="s">
        <v>930</v>
      </c>
      <c r="B55" s="545">
        <v>44760</v>
      </c>
      <c r="C55" s="336" t="s">
        <v>410</v>
      </c>
      <c r="D55" s="533" t="str">
        <f>_xlfn.IFERROR(VLOOKUP(C55,'Base de Monedas'!A:B,2,0),"")</f>
        <v>Guaraní</v>
      </c>
      <c r="E55" s="485">
        <v>82274</v>
      </c>
      <c r="F55" s="533" t="s">
        <v>928</v>
      </c>
      <c r="H55" s="545">
        <v>44459</v>
      </c>
      <c r="I55" s="336" t="s">
        <v>942</v>
      </c>
      <c r="J55" s="543" t="s">
        <v>943</v>
      </c>
      <c r="K55" s="485">
        <v>47466</v>
      </c>
      <c r="L55" s="543" t="s">
        <v>928</v>
      </c>
    </row>
    <row r="56" spans="1:12" s="533" customFormat="1" ht="15" customHeight="1">
      <c r="A56" s="357" t="s">
        <v>930</v>
      </c>
      <c r="B56" s="545">
        <v>44758</v>
      </c>
      <c r="C56" s="336" t="s">
        <v>410</v>
      </c>
      <c r="D56" s="533" t="str">
        <f>_xlfn.IFERROR(VLOOKUP(C56,'Base de Monedas'!A:B,2,0),"")</f>
        <v>Guaraní</v>
      </c>
      <c r="E56" s="485">
        <f>20342*3</f>
        <v>61026</v>
      </c>
      <c r="F56" s="533" t="s">
        <v>928</v>
      </c>
      <c r="H56" s="545">
        <v>44331</v>
      </c>
      <c r="I56" s="336" t="s">
        <v>942</v>
      </c>
      <c r="J56" s="543" t="s">
        <v>943</v>
      </c>
      <c r="K56" s="485">
        <v>40685</v>
      </c>
      <c r="L56" s="543" t="s">
        <v>928</v>
      </c>
    </row>
    <row r="57" spans="1:12" s="533" customFormat="1" ht="15" customHeight="1">
      <c r="A57" s="357" t="s">
        <v>930</v>
      </c>
      <c r="B57" s="545">
        <v>44822</v>
      </c>
      <c r="C57" s="336" t="s">
        <v>410</v>
      </c>
      <c r="D57" s="533" t="str">
        <f>_xlfn.IFERROR(VLOOKUP(C57,'Base de Monedas'!A:B,2,0),"")</f>
        <v>Guaraní</v>
      </c>
      <c r="E57" s="485">
        <f>(10192*5)+(9205+9863+9863+8548)</f>
        <v>88439</v>
      </c>
      <c r="F57" s="533" t="s">
        <v>928</v>
      </c>
      <c r="H57" s="545">
        <v>44392</v>
      </c>
      <c r="I57" s="336" t="s">
        <v>942</v>
      </c>
      <c r="J57" s="641" t="s">
        <v>943</v>
      </c>
      <c r="K57" s="485">
        <v>54247</v>
      </c>
      <c r="L57" s="641" t="s">
        <v>928</v>
      </c>
    </row>
    <row r="58" spans="1:12" s="533" customFormat="1" ht="15" customHeight="1">
      <c r="A58" s="357" t="s">
        <v>931</v>
      </c>
      <c r="B58" s="545">
        <v>44728</v>
      </c>
      <c r="C58" s="336" t="s">
        <v>410</v>
      </c>
      <c r="D58" s="533" t="str">
        <f>_xlfn.IFERROR(VLOOKUP(C58,'Base de Monedas'!A:B,2,0),"")</f>
        <v>Guaraní</v>
      </c>
      <c r="E58" s="485">
        <v>43336</v>
      </c>
      <c r="F58" s="533" t="s">
        <v>928</v>
      </c>
      <c r="H58" s="545">
        <v>44469</v>
      </c>
      <c r="I58" s="336" t="s">
        <v>942</v>
      </c>
      <c r="J58" s="543" t="s">
        <v>943</v>
      </c>
      <c r="K58" s="485">
        <v>94932</v>
      </c>
      <c r="L58" s="543" t="s">
        <v>928</v>
      </c>
    </row>
    <row r="59" spans="1:12" s="533" customFormat="1" ht="15" customHeight="1">
      <c r="A59" s="357" t="s">
        <v>931</v>
      </c>
      <c r="B59" s="545">
        <v>44833</v>
      </c>
      <c r="C59" s="336" t="s">
        <v>410</v>
      </c>
      <c r="D59" s="533" t="str">
        <f>_xlfn.IFERROR(VLOOKUP(C59,'Base de Monedas'!A:B,2,0),"")</f>
        <v>Guaraní</v>
      </c>
      <c r="E59" s="485">
        <f>47669+51534</f>
        <v>99203</v>
      </c>
      <c r="F59" s="533" t="s">
        <v>928</v>
      </c>
      <c r="H59" s="545">
        <v>44345</v>
      </c>
      <c r="I59" s="336" t="s">
        <v>942</v>
      </c>
      <c r="J59" s="543" t="s">
        <v>943</v>
      </c>
      <c r="K59" s="485">
        <v>20318</v>
      </c>
      <c r="L59" s="543" t="s">
        <v>928</v>
      </c>
    </row>
    <row r="60" spans="1:12" s="533" customFormat="1" ht="15" customHeight="1">
      <c r="A60" s="357" t="s">
        <v>931</v>
      </c>
      <c r="B60" s="545">
        <v>44849</v>
      </c>
      <c r="C60" s="336" t="s">
        <v>410</v>
      </c>
      <c r="D60" s="650" t="str">
        <f>_xlfn.IFERROR(VLOOKUP(C60,'Base de Monedas'!A:B,2,0),"")</f>
        <v>Guaraní</v>
      </c>
      <c r="E60" s="485">
        <f>45160+48822</f>
        <v>93982</v>
      </c>
      <c r="F60" s="650" t="s">
        <v>928</v>
      </c>
      <c r="H60" s="545">
        <v>44325</v>
      </c>
      <c r="I60" s="336" t="s">
        <v>942</v>
      </c>
      <c r="J60" s="641" t="s">
        <v>943</v>
      </c>
      <c r="K60" s="485">
        <v>35958</v>
      </c>
      <c r="L60" s="641" t="s">
        <v>928</v>
      </c>
    </row>
    <row r="61" spans="1:12" s="533" customFormat="1" ht="15" customHeight="1">
      <c r="A61" s="357" t="s">
        <v>931</v>
      </c>
      <c r="B61" s="545"/>
      <c r="C61" s="336"/>
      <c r="E61" s="485"/>
      <c r="H61" s="545">
        <v>44316</v>
      </c>
      <c r="I61" s="336" t="s">
        <v>942</v>
      </c>
      <c r="J61" s="641" t="s">
        <v>943</v>
      </c>
      <c r="K61" s="485">
        <v>24592</v>
      </c>
      <c r="L61" s="641" t="s">
        <v>928</v>
      </c>
    </row>
    <row r="62" spans="1:12" s="533" customFormat="1" ht="15" customHeight="1">
      <c r="A62" s="357" t="s">
        <v>932</v>
      </c>
      <c r="B62" s="545">
        <v>44603</v>
      </c>
      <c r="C62" s="336" t="s">
        <v>410</v>
      </c>
      <c r="D62" s="533" t="str">
        <f>_xlfn.IFERROR(VLOOKUP(C62,'Base de Monedas'!A:B,2,0),"")</f>
        <v>Guaraní</v>
      </c>
      <c r="E62" s="485">
        <v>102782</v>
      </c>
      <c r="F62" s="533" t="s">
        <v>928</v>
      </c>
      <c r="H62" s="545">
        <v>44508</v>
      </c>
      <c r="I62" s="336" t="s">
        <v>942</v>
      </c>
      <c r="J62" s="543" t="s">
        <v>943</v>
      </c>
      <c r="K62" s="485">
        <v>95203</v>
      </c>
      <c r="L62" s="543" t="s">
        <v>928</v>
      </c>
    </row>
    <row r="63" spans="1:12" s="641" customFormat="1" ht="15" customHeight="1">
      <c r="A63" s="357" t="s">
        <v>932</v>
      </c>
      <c r="B63" s="545">
        <v>44792</v>
      </c>
      <c r="C63" s="336" t="s">
        <v>410</v>
      </c>
      <c r="D63" s="650" t="str">
        <f>_xlfn.IFERROR(VLOOKUP(C63,'Base de Monedas'!A:B,2,0),"")</f>
        <v>Guaraní</v>
      </c>
      <c r="E63" s="485">
        <f>104500+1</f>
        <v>104501</v>
      </c>
      <c r="F63" s="650" t="s">
        <v>928</v>
      </c>
      <c r="H63" s="545">
        <v>44470</v>
      </c>
      <c r="I63" s="336" t="s">
        <v>942</v>
      </c>
      <c r="J63" s="641" t="s">
        <v>943</v>
      </c>
      <c r="K63" s="485">
        <v>81370</v>
      </c>
      <c r="L63" s="641" t="s">
        <v>928</v>
      </c>
    </row>
    <row r="64" spans="1:12" s="533" customFormat="1" ht="15" customHeight="1">
      <c r="A64" s="357" t="s">
        <v>932</v>
      </c>
      <c r="B64" s="545">
        <v>44830</v>
      </c>
      <c r="C64" s="336" t="s">
        <v>410</v>
      </c>
      <c r="D64" s="533" t="str">
        <f>_xlfn.IFERROR(VLOOKUP(C64,'Base de Monedas'!A:B,2,0),"")</f>
        <v>Guaraní</v>
      </c>
      <c r="E64" s="485">
        <v>103068</v>
      </c>
      <c r="F64" s="533" t="s">
        <v>928</v>
      </c>
      <c r="H64" s="545">
        <v>44428</v>
      </c>
      <c r="I64" s="336" t="s">
        <v>942</v>
      </c>
      <c r="J64" s="543" t="s">
        <v>943</v>
      </c>
      <c r="K64" s="485">
        <v>84218</v>
      </c>
      <c r="L64" s="543" t="s">
        <v>928</v>
      </c>
    </row>
    <row r="65" spans="1:12" s="533" customFormat="1" ht="15" customHeight="1">
      <c r="A65" s="357" t="s">
        <v>932</v>
      </c>
      <c r="B65" s="545">
        <v>44869</v>
      </c>
      <c r="C65" s="336" t="s">
        <v>410</v>
      </c>
      <c r="D65" s="533" t="str">
        <f>_xlfn.IFERROR(VLOOKUP(C65,'Base de Monedas'!A:B,2,0),"")</f>
        <v>Guaraní</v>
      </c>
      <c r="E65" s="485">
        <v>108192</v>
      </c>
      <c r="F65" s="533" t="s">
        <v>928</v>
      </c>
      <c r="H65" s="545">
        <v>44242</v>
      </c>
      <c r="I65" s="336" t="s">
        <v>942</v>
      </c>
      <c r="J65" s="641" t="s">
        <v>943</v>
      </c>
      <c r="K65" s="485">
        <v>86659</v>
      </c>
      <c r="L65" s="641" t="s">
        <v>928</v>
      </c>
    </row>
    <row r="66" spans="1:12" s="641" customFormat="1" ht="15" customHeight="1">
      <c r="A66" s="357" t="s">
        <v>932</v>
      </c>
      <c r="B66" s="545">
        <v>44886</v>
      </c>
      <c r="C66" s="336" t="s">
        <v>410</v>
      </c>
      <c r="D66" s="650" t="str">
        <f>_xlfn.IFERROR(VLOOKUP(C66,'Base de Monedas'!A:B,2,0),"")</f>
        <v>Guaraní</v>
      </c>
      <c r="E66" s="485">
        <v>216986</v>
      </c>
      <c r="F66" s="650" t="s">
        <v>928</v>
      </c>
      <c r="H66" s="545">
        <v>44225</v>
      </c>
      <c r="I66" s="336" t="s">
        <v>942</v>
      </c>
      <c r="J66" s="641" t="s">
        <v>943</v>
      </c>
      <c r="K66" s="485">
        <v>92179</v>
      </c>
      <c r="L66" s="641" t="s">
        <v>928</v>
      </c>
    </row>
    <row r="67" spans="1:12" s="543" customFormat="1" ht="15" customHeight="1">
      <c r="A67" s="562" t="s">
        <v>944</v>
      </c>
      <c r="B67" s="552"/>
      <c r="C67" s="360"/>
      <c r="D67" s="359"/>
      <c r="E67" s="546"/>
      <c r="F67" s="359"/>
      <c r="G67" s="359"/>
      <c r="H67" s="552">
        <v>44198</v>
      </c>
      <c r="I67" s="360" t="s">
        <v>942</v>
      </c>
      <c r="J67" s="359" t="s">
        <v>943</v>
      </c>
      <c r="K67" s="546">
        <v>63468</v>
      </c>
      <c r="L67" s="359" t="s">
        <v>928</v>
      </c>
    </row>
    <row r="68" spans="1:11" s="543" customFormat="1" ht="15" customHeight="1">
      <c r="A68" s="357"/>
      <c r="B68" s="545"/>
      <c r="C68" s="336"/>
      <c r="E68" s="563">
        <f>SUM(E51:E67)+3</f>
        <v>1364399</v>
      </c>
      <c r="H68" s="545"/>
      <c r="I68" s="336"/>
      <c r="K68" s="563">
        <f>SUM(K51:K67)-2</f>
        <v>1048862</v>
      </c>
    </row>
    <row r="69" spans="1:11" s="543" customFormat="1" ht="15" customHeight="1">
      <c r="A69" s="127" t="s">
        <v>946</v>
      </c>
      <c r="B69" s="545"/>
      <c r="C69" s="336"/>
      <c r="E69" s="485"/>
      <c r="H69" s="545"/>
      <c r="I69" s="336"/>
      <c r="K69" s="485"/>
    </row>
    <row r="70" spans="1:12" s="543" customFormat="1" ht="15" customHeight="1">
      <c r="A70" s="562" t="s">
        <v>934</v>
      </c>
      <c r="B70" s="552">
        <v>44925</v>
      </c>
      <c r="C70" s="360" t="s">
        <v>410</v>
      </c>
      <c r="D70" s="359" t="str">
        <f>_xlfn.IFERROR(VLOOKUP(C70,'Base de Monedas'!A:B,2,0),"")</f>
        <v>Guaraní</v>
      </c>
      <c r="E70" s="546">
        <v>78000</v>
      </c>
      <c r="F70" s="359" t="s">
        <v>928</v>
      </c>
      <c r="G70" s="359"/>
      <c r="H70" s="552">
        <v>44563</v>
      </c>
      <c r="I70" s="360" t="s">
        <v>942</v>
      </c>
      <c r="J70" s="359" t="s">
        <v>943</v>
      </c>
      <c r="K70" s="643">
        <v>78000</v>
      </c>
      <c r="L70" s="359" t="s">
        <v>928</v>
      </c>
    </row>
    <row r="71" spans="1:11" s="543" customFormat="1" ht="15" customHeight="1">
      <c r="A71" s="357"/>
      <c r="B71" s="545"/>
      <c r="C71" s="336"/>
      <c r="E71" s="563">
        <f>+E70</f>
        <v>78000</v>
      </c>
      <c r="H71" s="545"/>
      <c r="I71" s="336"/>
      <c r="K71" s="563">
        <f>+K70</f>
        <v>78000</v>
      </c>
    </row>
    <row r="72" spans="1:11" s="543" customFormat="1" ht="15" customHeight="1">
      <c r="A72" s="127" t="s">
        <v>947</v>
      </c>
      <c r="B72" s="545"/>
      <c r="C72" s="336"/>
      <c r="E72" s="485"/>
      <c r="H72" s="545"/>
      <c r="I72" s="336"/>
      <c r="K72" s="485"/>
    </row>
    <row r="73" spans="1:12" s="543" customFormat="1" ht="15" customHeight="1">
      <c r="A73" s="550" t="s">
        <v>936</v>
      </c>
      <c r="B73" s="161"/>
      <c r="C73" s="557"/>
      <c r="D73" s="161"/>
      <c r="E73" s="539"/>
      <c r="F73" s="161"/>
      <c r="H73" s="550" t="s">
        <v>936</v>
      </c>
      <c r="I73" s="336"/>
      <c r="J73" s="554"/>
      <c r="K73" s="485"/>
      <c r="L73" s="554"/>
    </row>
    <row r="74" spans="1:12" s="543" customFormat="1" ht="15" customHeight="1">
      <c r="A74" s="551" t="s">
        <v>938</v>
      </c>
      <c r="B74" s="545">
        <v>44488</v>
      </c>
      <c r="C74" s="336" t="s">
        <v>410</v>
      </c>
      <c r="D74" s="622" t="str">
        <f>_xlfn.IFERROR(VLOOKUP(C74,'Base de Monedas'!A:B,2,0),"")</f>
        <v>Guaraní</v>
      </c>
      <c r="E74" s="485">
        <v>0</v>
      </c>
      <c r="F74" s="543" t="s">
        <v>928</v>
      </c>
      <c r="H74" s="545">
        <v>44488</v>
      </c>
      <c r="I74" s="336" t="s">
        <v>942</v>
      </c>
      <c r="J74" s="554" t="s">
        <v>943</v>
      </c>
      <c r="K74" s="485">
        <v>181501</v>
      </c>
      <c r="L74" s="554" t="s">
        <v>928</v>
      </c>
    </row>
    <row r="75" spans="1:12" s="543" customFormat="1" ht="15" customHeight="1">
      <c r="A75" s="127"/>
      <c r="B75" s="545"/>
      <c r="C75" s="336"/>
      <c r="E75" s="485"/>
      <c r="H75" s="545"/>
      <c r="I75" s="336"/>
      <c r="J75" s="554"/>
      <c r="K75" s="485"/>
      <c r="L75" s="554"/>
    </row>
    <row r="76" spans="1:12" s="543" customFormat="1" ht="15" customHeight="1">
      <c r="A76" s="550" t="s">
        <v>937</v>
      </c>
      <c r="B76" s="545"/>
      <c r="C76" s="336"/>
      <c r="E76" s="485"/>
      <c r="H76" s="550"/>
      <c r="I76" s="336"/>
      <c r="J76" s="554"/>
      <c r="K76" s="485"/>
      <c r="L76" s="554"/>
    </row>
    <row r="77" spans="1:12" s="543" customFormat="1" ht="15" customHeight="1">
      <c r="A77" s="544" t="s">
        <v>939</v>
      </c>
      <c r="B77" s="564"/>
      <c r="C77" s="557" t="s">
        <v>410</v>
      </c>
      <c r="D77" s="161" t="str">
        <f>_xlfn.IFERROR(VLOOKUP(C77,'Base de Monedas'!A:B,2,0),"")</f>
        <v>Guaraní</v>
      </c>
      <c r="E77" s="539">
        <v>0</v>
      </c>
      <c r="F77" s="543" t="s">
        <v>928</v>
      </c>
      <c r="H77" s="545"/>
      <c r="I77" s="336"/>
      <c r="J77" s="641"/>
      <c r="K77" s="485"/>
      <c r="L77" s="641"/>
    </row>
    <row r="78" spans="1:12" s="543" customFormat="1" ht="15" customHeight="1">
      <c r="A78" s="561" t="s">
        <v>939</v>
      </c>
      <c r="B78" s="552">
        <v>44917</v>
      </c>
      <c r="C78" s="360" t="s">
        <v>410</v>
      </c>
      <c r="D78" s="359" t="str">
        <f>_xlfn.IFERROR(VLOOKUP(C78,'Base de Monedas'!A:B,2,0),"")</f>
        <v>Guaraní</v>
      </c>
      <c r="E78" s="546">
        <f>((48267*3)+49328)+((50461*3)+51570)+((59237*3)+60539)</f>
        <v>635332</v>
      </c>
      <c r="F78" s="359" t="s">
        <v>928</v>
      </c>
      <c r="G78" s="359"/>
      <c r="H78" s="552">
        <v>44551</v>
      </c>
      <c r="I78" s="360" t="s">
        <v>942</v>
      </c>
      <c r="J78" s="359" t="s">
        <v>943</v>
      </c>
      <c r="K78" s="546">
        <v>631864</v>
      </c>
      <c r="L78" s="359" t="s">
        <v>928</v>
      </c>
    </row>
    <row r="79" spans="1:12" s="543" customFormat="1" ht="15" customHeight="1">
      <c r="A79" s="357"/>
      <c r="B79" s="545"/>
      <c r="C79" s="336"/>
      <c r="E79" s="563">
        <f>SUM(E74:E78)+4</f>
        <v>635336</v>
      </c>
      <c r="H79" s="564"/>
      <c r="I79" s="557"/>
      <c r="J79" s="161"/>
      <c r="K79" s="566">
        <f>SUM(K74:K78)</f>
        <v>813365</v>
      </c>
      <c r="L79" s="161"/>
    </row>
    <row r="80" spans="3:11" s="533" customFormat="1" ht="15" customHeight="1">
      <c r="C80" s="336"/>
      <c r="E80" s="485"/>
      <c r="H80" s="545"/>
      <c r="I80" s="336"/>
      <c r="K80" s="563"/>
    </row>
    <row r="81" spans="1:11" s="322" customFormat="1" ht="15" customHeight="1">
      <c r="A81" s="127" t="s">
        <v>953</v>
      </c>
      <c r="C81" s="336"/>
      <c r="E81" s="485"/>
      <c r="H81" s="545"/>
      <c r="I81" s="336"/>
      <c r="K81" s="485"/>
    </row>
    <row r="82" spans="1:12" s="533" customFormat="1" ht="15" customHeight="1">
      <c r="A82" s="543" t="s">
        <v>945</v>
      </c>
      <c r="B82" s="545">
        <v>44750</v>
      </c>
      <c r="C82" s="336" t="s">
        <v>410</v>
      </c>
      <c r="D82" s="622" t="str">
        <f>_xlfn.IFERROR(VLOOKUP(C82,'Base de Monedas'!A:B,2,0),"")</f>
        <v>Guaraní</v>
      </c>
      <c r="E82" s="485">
        <f>(-20342*2)-6781</f>
        <v>-47465</v>
      </c>
      <c r="F82" s="543" t="s">
        <v>928</v>
      </c>
      <c r="H82" s="545">
        <v>44311</v>
      </c>
      <c r="I82" s="336" t="s">
        <v>942</v>
      </c>
      <c r="J82" s="543" t="s">
        <v>943</v>
      </c>
      <c r="K82" s="485">
        <v>-19589</v>
      </c>
      <c r="L82" s="543" t="s">
        <v>928</v>
      </c>
    </row>
    <row r="83" spans="1:12" s="533" customFormat="1" ht="15" customHeight="1">
      <c r="A83" s="543" t="s">
        <v>945</v>
      </c>
      <c r="B83" s="545">
        <v>44766</v>
      </c>
      <c r="C83" s="336" t="s">
        <v>410</v>
      </c>
      <c r="D83" s="622" t="str">
        <f>_xlfn.IFERROR(VLOOKUP(C83,'Base de Monedas'!A:B,2,0),"")</f>
        <v>Guaraní</v>
      </c>
      <c r="E83" s="567">
        <f>(-30514*2)-10171</f>
        <v>-71199</v>
      </c>
      <c r="F83" s="543" t="s">
        <v>928</v>
      </c>
      <c r="H83" s="545">
        <v>44448</v>
      </c>
      <c r="I83" s="336" t="s">
        <v>942</v>
      </c>
      <c r="J83" s="543" t="s">
        <v>943</v>
      </c>
      <c r="K83" s="485">
        <v>-48822</v>
      </c>
      <c r="L83" s="543" t="s">
        <v>928</v>
      </c>
    </row>
    <row r="84" spans="1:12" s="533" customFormat="1" ht="15" customHeight="1">
      <c r="A84" s="543" t="s">
        <v>945</v>
      </c>
      <c r="B84" s="545">
        <v>44809</v>
      </c>
      <c r="C84" s="336" t="s">
        <v>410</v>
      </c>
      <c r="D84" s="640" t="str">
        <f>_xlfn.IFERROR(VLOOKUP(C84,'Base de Monedas'!A:B,2,0),"")</f>
        <v>Guaraní</v>
      </c>
      <c r="E84" s="567">
        <f>-20342*3</f>
        <v>-61026</v>
      </c>
      <c r="F84" s="640" t="s">
        <v>928</v>
      </c>
      <c r="H84" s="545">
        <v>44407</v>
      </c>
      <c r="I84" s="336" t="s">
        <v>942</v>
      </c>
      <c r="J84" s="543" t="s">
        <v>943</v>
      </c>
      <c r="K84" s="485">
        <v>-73356</v>
      </c>
      <c r="L84" s="543" t="s">
        <v>928</v>
      </c>
    </row>
    <row r="85" spans="1:12" s="533" customFormat="1" ht="15" customHeight="1">
      <c r="A85" s="543" t="s">
        <v>945</v>
      </c>
      <c r="B85" s="545">
        <v>44724</v>
      </c>
      <c r="C85" s="336" t="s">
        <v>410</v>
      </c>
      <c r="D85" s="650" t="str">
        <f>_xlfn.IFERROR(VLOOKUP(C85,'Base de Monedas'!A:B,2,0),"")</f>
        <v>Guaraní</v>
      </c>
      <c r="E85" s="567">
        <f>-5877-17630-11753-2</f>
        <v>-35262</v>
      </c>
      <c r="F85" s="650" t="s">
        <v>928</v>
      </c>
      <c r="H85" s="545">
        <v>44371</v>
      </c>
      <c r="I85" s="336" t="s">
        <v>942</v>
      </c>
      <c r="J85" s="543" t="s">
        <v>943</v>
      </c>
      <c r="K85" s="485">
        <v>-45616</v>
      </c>
      <c r="L85" s="543" t="s">
        <v>928</v>
      </c>
    </row>
    <row r="86" spans="2:11" s="543" customFormat="1" ht="15" customHeight="1">
      <c r="B86" s="545"/>
      <c r="C86" s="336"/>
      <c r="E86" s="485"/>
      <c r="H86" s="545"/>
      <c r="I86" s="336"/>
      <c r="K86" s="485"/>
    </row>
    <row r="87" spans="1:12" s="533" customFormat="1" ht="15" customHeight="1">
      <c r="A87" s="543" t="s">
        <v>930</v>
      </c>
      <c r="B87" s="545">
        <v>44760</v>
      </c>
      <c r="C87" s="336" t="s">
        <v>410</v>
      </c>
      <c r="D87" s="622" t="str">
        <f>_xlfn.IFERROR(VLOOKUP(C87,'Base de Monedas'!A:B,2,0),"")</f>
        <v>Guaraní</v>
      </c>
      <c r="E87" s="485">
        <f>-82274-1</f>
        <v>-82275</v>
      </c>
      <c r="F87" s="543" t="s">
        <v>928</v>
      </c>
      <c r="H87" s="545">
        <v>44548</v>
      </c>
      <c r="I87" s="336" t="s">
        <v>942</v>
      </c>
      <c r="J87" s="543" t="s">
        <v>943</v>
      </c>
      <c r="K87" s="485">
        <v>-13562</v>
      </c>
      <c r="L87" s="543" t="s">
        <v>928</v>
      </c>
    </row>
    <row r="88" spans="1:12" s="533" customFormat="1" ht="15" customHeight="1">
      <c r="A88" s="357" t="s">
        <v>930</v>
      </c>
      <c r="B88" s="545">
        <v>44758</v>
      </c>
      <c r="C88" s="336" t="s">
        <v>410</v>
      </c>
      <c r="D88" s="543" t="str">
        <f>_xlfn.IFERROR(VLOOKUP(C88,'Base de Monedas'!A:B,2,0),"")</f>
        <v>Guaraní</v>
      </c>
      <c r="E88" s="485">
        <f>-6781-(20342*2)</f>
        <v>-47465</v>
      </c>
      <c r="F88" s="543" t="s">
        <v>928</v>
      </c>
      <c r="H88" s="545">
        <v>44331</v>
      </c>
      <c r="I88" s="336" t="s">
        <v>942</v>
      </c>
      <c r="J88" s="543" t="s">
        <v>943</v>
      </c>
      <c r="K88" s="485">
        <v>-33904</v>
      </c>
      <c r="L88" s="543" t="s">
        <v>928</v>
      </c>
    </row>
    <row r="89" spans="1:12" s="533" customFormat="1" ht="15" customHeight="1">
      <c r="A89" s="357" t="s">
        <v>930</v>
      </c>
      <c r="B89" s="545">
        <v>44822</v>
      </c>
      <c r="C89" s="336" t="s">
        <v>410</v>
      </c>
      <c r="D89" s="543" t="str">
        <f>_xlfn.IFERROR(VLOOKUP(C89,'Base de Monedas'!A:B,2,0),"")</f>
        <v>Guaraní</v>
      </c>
      <c r="E89" s="485">
        <v>-88767</v>
      </c>
      <c r="F89" s="543" t="s">
        <v>928</v>
      </c>
      <c r="H89" s="545">
        <v>44392</v>
      </c>
      <c r="I89" s="336" t="s">
        <v>942</v>
      </c>
      <c r="J89" s="641" t="s">
        <v>943</v>
      </c>
      <c r="K89" s="485">
        <v>-47466</v>
      </c>
      <c r="L89" s="641" t="s">
        <v>928</v>
      </c>
    </row>
    <row r="90" spans="1:12" s="533" customFormat="1" ht="15" customHeight="1">
      <c r="A90" s="357" t="s">
        <v>931</v>
      </c>
      <c r="B90" s="545">
        <v>44728</v>
      </c>
      <c r="C90" s="336" t="s">
        <v>410</v>
      </c>
      <c r="D90" s="543" t="str">
        <f>_xlfn.IFERROR(VLOOKUP(C90,'Base de Monedas'!A:B,2,0),"")</f>
        <v>Guaraní</v>
      </c>
      <c r="E90" s="485">
        <v>-45092</v>
      </c>
      <c r="F90" s="543" t="s">
        <v>928</v>
      </c>
      <c r="H90" s="545">
        <v>44469</v>
      </c>
      <c r="I90" s="336" t="s">
        <v>942</v>
      </c>
      <c r="J90" s="543" t="s">
        <v>943</v>
      </c>
      <c r="K90" s="485">
        <v>-71198</v>
      </c>
      <c r="L90" s="543" t="s">
        <v>928</v>
      </c>
    </row>
    <row r="91" spans="1:12" s="533" customFormat="1" ht="15" customHeight="1">
      <c r="A91" s="357" t="s">
        <v>931</v>
      </c>
      <c r="B91" s="545">
        <v>44833</v>
      </c>
      <c r="C91" s="336" t="s">
        <v>410</v>
      </c>
      <c r="D91" s="640" t="str">
        <f>_xlfn.IFERROR(VLOOKUP(C91,'Base de Monedas'!A:B,2,0),"")</f>
        <v>Guaraní</v>
      </c>
      <c r="E91" s="485">
        <f>-24801-49602-1</f>
        <v>-74404</v>
      </c>
      <c r="F91" s="640" t="s">
        <v>928</v>
      </c>
      <c r="H91" s="545">
        <v>44345</v>
      </c>
      <c r="I91" s="336" t="s">
        <v>942</v>
      </c>
      <c r="J91" s="543" t="s">
        <v>943</v>
      </c>
      <c r="K91" s="485">
        <v>-19048</v>
      </c>
      <c r="L91" s="543" t="s">
        <v>928</v>
      </c>
    </row>
    <row r="92" spans="1:12" s="533" customFormat="1" ht="15" customHeight="1">
      <c r="A92" s="357" t="s">
        <v>931</v>
      </c>
      <c r="B92" s="545">
        <v>44849</v>
      </c>
      <c r="C92" s="336" t="s">
        <v>410</v>
      </c>
      <c r="D92" s="543" t="str">
        <f>_xlfn.IFERROR(VLOOKUP(C92,'Base de Monedas'!A:B,2,0),"")</f>
        <v>Guaraní</v>
      </c>
      <c r="E92" s="485">
        <f>-31327-46991</f>
        <v>-78318</v>
      </c>
      <c r="F92" s="543" t="s">
        <v>928</v>
      </c>
      <c r="H92" s="545">
        <v>44325</v>
      </c>
      <c r="I92" s="336" t="s">
        <v>942</v>
      </c>
      <c r="J92" s="543" t="s">
        <v>943</v>
      </c>
      <c r="K92" s="485">
        <v>-33607</v>
      </c>
      <c r="L92" s="543" t="s">
        <v>928</v>
      </c>
    </row>
    <row r="93" spans="1:12" s="533" customFormat="1" ht="15" customHeight="1">
      <c r="A93" s="357" t="s">
        <v>931</v>
      </c>
      <c r="B93" s="545"/>
      <c r="C93" s="336"/>
      <c r="D93" s="543"/>
      <c r="E93" s="485"/>
      <c r="F93" s="543"/>
      <c r="H93" s="545">
        <v>44316</v>
      </c>
      <c r="I93" s="336" t="s">
        <v>942</v>
      </c>
      <c r="J93" s="543" t="s">
        <v>943</v>
      </c>
      <c r="K93" s="485">
        <v>-25337</v>
      </c>
      <c r="L93" s="543" t="s">
        <v>928</v>
      </c>
    </row>
    <row r="94" spans="1:12" s="543" customFormat="1" ht="15" customHeight="1">
      <c r="A94" s="357" t="s">
        <v>932</v>
      </c>
      <c r="B94" s="545">
        <v>44603</v>
      </c>
      <c r="C94" s="336" t="s">
        <v>410</v>
      </c>
      <c r="D94" s="543" t="str">
        <f>_xlfn.IFERROR(VLOOKUP(C94,'Base de Monedas'!A:B,2,0),"")</f>
        <v>Guaraní</v>
      </c>
      <c r="E94" s="485">
        <v>-17130</v>
      </c>
      <c r="F94" s="543" t="s">
        <v>928</v>
      </c>
      <c r="H94" s="545">
        <v>44508</v>
      </c>
      <c r="I94" s="336" t="s">
        <v>942</v>
      </c>
      <c r="J94" s="543" t="s">
        <v>943</v>
      </c>
      <c r="K94" s="567">
        <v>-87269</v>
      </c>
      <c r="L94" s="543" t="s">
        <v>928</v>
      </c>
    </row>
    <row r="95" spans="1:12" s="533" customFormat="1" ht="15" customHeight="1">
      <c r="A95" s="357" t="s">
        <v>932</v>
      </c>
      <c r="B95" s="545">
        <v>44792</v>
      </c>
      <c r="C95" s="336" t="s">
        <v>410</v>
      </c>
      <c r="D95" s="543" t="str">
        <f>_xlfn.IFERROR(VLOOKUP(C95,'Base de Monedas'!A:B,2,0),"")</f>
        <v>Guaraní</v>
      </c>
      <c r="E95" s="485">
        <v>-69667</v>
      </c>
      <c r="F95" s="543" t="s">
        <v>928</v>
      </c>
      <c r="H95" s="545">
        <v>44470</v>
      </c>
      <c r="I95" s="336" t="s">
        <v>942</v>
      </c>
      <c r="J95" s="543" t="s">
        <v>943</v>
      </c>
      <c r="K95" s="567">
        <v>-67808</v>
      </c>
      <c r="L95" s="543" t="s">
        <v>928</v>
      </c>
    </row>
    <row r="96" spans="1:12" s="533" customFormat="1" ht="15" customHeight="1">
      <c r="A96" s="357" t="s">
        <v>932</v>
      </c>
      <c r="B96" s="545">
        <v>44830</v>
      </c>
      <c r="C96" s="336" t="s">
        <v>410</v>
      </c>
      <c r="D96" s="543" t="str">
        <f>_xlfn.IFERROR(VLOOKUP(C96,'Base de Monedas'!A:B,2,0),"")</f>
        <v>Guaraní</v>
      </c>
      <c r="E96" s="485">
        <v>-77301</v>
      </c>
      <c r="F96" s="543" t="s">
        <v>928</v>
      </c>
      <c r="H96" s="545">
        <v>44428</v>
      </c>
      <c r="I96" s="336" t="s">
        <v>942</v>
      </c>
      <c r="J96" s="543" t="s">
        <v>943</v>
      </c>
      <c r="K96" s="567">
        <v>-56145</v>
      </c>
      <c r="L96" s="543" t="s">
        <v>928</v>
      </c>
    </row>
    <row r="97" spans="1:12" s="533" customFormat="1" ht="15" customHeight="1">
      <c r="A97" s="357" t="s">
        <v>932</v>
      </c>
      <c r="B97" s="545">
        <v>44869</v>
      </c>
      <c r="C97" s="336" t="s">
        <v>410</v>
      </c>
      <c r="D97" s="543" t="str">
        <f>_xlfn.IFERROR(VLOOKUP(C97,'Base de Monedas'!A:B,2,0),"")</f>
        <v>Guaraní</v>
      </c>
      <c r="E97" s="485">
        <v>-99176</v>
      </c>
      <c r="F97" s="543" t="s">
        <v>928</v>
      </c>
      <c r="H97" s="545">
        <v>44242</v>
      </c>
      <c r="I97" s="336" t="s">
        <v>942</v>
      </c>
      <c r="J97" s="554" t="s">
        <v>943</v>
      </c>
      <c r="K97" s="567">
        <v>-14443</v>
      </c>
      <c r="L97" s="554" t="s">
        <v>928</v>
      </c>
    </row>
    <row r="98" spans="1:12" s="543" customFormat="1" ht="15" customHeight="1">
      <c r="A98" s="357" t="s">
        <v>932</v>
      </c>
      <c r="B98" s="545">
        <v>44886</v>
      </c>
      <c r="C98" s="336" t="s">
        <v>410</v>
      </c>
      <c r="D98" s="650" t="str">
        <f>_xlfn.IFERROR(VLOOKUP(C98,'Base de Monedas'!A:B,2,0),"")</f>
        <v>Guaraní</v>
      </c>
      <c r="E98" s="485">
        <v>-198904</v>
      </c>
      <c r="F98" s="650" t="s">
        <v>928</v>
      </c>
      <c r="H98" s="545">
        <v>44225</v>
      </c>
      <c r="I98" s="336" t="s">
        <v>942</v>
      </c>
      <c r="J98" s="554" t="s">
        <v>943</v>
      </c>
      <c r="K98" s="567">
        <v>-7682</v>
      </c>
      <c r="L98" s="554" t="s">
        <v>928</v>
      </c>
    </row>
    <row r="99" spans="1:12" s="543" customFormat="1" ht="15" customHeight="1">
      <c r="A99" s="562" t="s">
        <v>944</v>
      </c>
      <c r="B99" s="552"/>
      <c r="C99" s="360"/>
      <c r="D99" s="359"/>
      <c r="E99" s="546"/>
      <c r="F99" s="359"/>
      <c r="H99" s="552">
        <v>44198</v>
      </c>
      <c r="I99" s="360" t="s">
        <v>942</v>
      </c>
      <c r="J99" s="359" t="s">
        <v>943</v>
      </c>
      <c r="K99" s="568">
        <v>-10578</v>
      </c>
      <c r="L99" s="359" t="s">
        <v>928</v>
      </c>
    </row>
    <row r="100" spans="1:11" s="543" customFormat="1" ht="15" customHeight="1">
      <c r="A100" s="357"/>
      <c r="B100" s="545"/>
      <c r="C100" s="336"/>
      <c r="E100" s="642">
        <f>SUM(E82:E98)</f>
        <v>-1093451</v>
      </c>
      <c r="H100" s="545"/>
      <c r="I100" s="336"/>
      <c r="K100" s="563">
        <f>SUM(K82:K99)-1</f>
        <v>-675431</v>
      </c>
    </row>
    <row r="101" spans="3:11" s="533" customFormat="1" ht="15" customHeight="1">
      <c r="C101" s="336"/>
      <c r="E101" s="485"/>
      <c r="H101" s="545"/>
      <c r="I101" s="336"/>
      <c r="K101" s="485"/>
    </row>
    <row r="102" spans="1:11" s="533" customFormat="1" ht="15" customHeight="1">
      <c r="A102" s="127" t="s">
        <v>948</v>
      </c>
      <c r="C102" s="336"/>
      <c r="E102" s="485"/>
      <c r="H102" s="545"/>
      <c r="I102" s="336"/>
      <c r="K102" s="485">
        <v>0</v>
      </c>
    </row>
    <row r="103" spans="1:12" s="543" customFormat="1" ht="15" customHeight="1">
      <c r="A103" s="561" t="s">
        <v>949</v>
      </c>
      <c r="B103" s="552">
        <v>44563</v>
      </c>
      <c r="C103" s="360" t="s">
        <v>410</v>
      </c>
      <c r="D103" s="359" t="str">
        <f>_xlfn.IFERROR(VLOOKUP(C103,'Base de Monedas'!A:B,2,0),"")</f>
        <v>Guaraní</v>
      </c>
      <c r="E103" s="546">
        <v>-78000</v>
      </c>
      <c r="F103" s="359" t="s">
        <v>928</v>
      </c>
      <c r="G103" s="359"/>
      <c r="H103" s="552">
        <v>44198</v>
      </c>
      <c r="I103" s="360" t="s">
        <v>942</v>
      </c>
      <c r="J103" s="359" t="s">
        <v>943</v>
      </c>
      <c r="K103" s="546">
        <v>-78000</v>
      </c>
      <c r="L103" s="359" t="s">
        <v>928</v>
      </c>
    </row>
    <row r="104" spans="1:11" s="543" customFormat="1" ht="15" customHeight="1">
      <c r="A104" s="544"/>
      <c r="C104" s="336"/>
      <c r="E104" s="563">
        <f>+E103</f>
        <v>-78000</v>
      </c>
      <c r="H104" s="545"/>
      <c r="I104" s="336"/>
      <c r="K104" s="563">
        <f>+K103</f>
        <v>-78000</v>
      </c>
    </row>
    <row r="105" spans="1:11" s="533" customFormat="1" ht="15" customHeight="1">
      <c r="A105" s="558" t="s">
        <v>950</v>
      </c>
      <c r="C105" s="336"/>
      <c r="E105" s="485"/>
      <c r="H105" s="545"/>
      <c r="I105" s="336"/>
      <c r="K105" s="485"/>
    </row>
    <row r="106" spans="1:11" s="543" customFormat="1" ht="15" customHeight="1">
      <c r="A106" s="161"/>
      <c r="C106" s="336"/>
      <c r="E106" s="485"/>
      <c r="H106" s="545"/>
      <c r="I106" s="336"/>
      <c r="K106" s="485"/>
    </row>
    <row r="107" spans="1:12" s="543" customFormat="1" ht="15" customHeight="1">
      <c r="A107" s="550" t="s">
        <v>936</v>
      </c>
      <c r="B107" s="161"/>
      <c r="C107" s="557"/>
      <c r="D107" s="161"/>
      <c r="E107" s="485"/>
      <c r="H107" s="550" t="s">
        <v>936</v>
      </c>
      <c r="I107" s="336"/>
      <c r="J107" s="554"/>
      <c r="K107" s="485"/>
      <c r="L107" s="554"/>
    </row>
    <row r="108" spans="1:12" s="543" customFormat="1" ht="15" customHeight="1">
      <c r="A108" s="625" t="s">
        <v>994</v>
      </c>
      <c r="B108" s="545"/>
      <c r="C108" s="336" t="s">
        <v>410</v>
      </c>
      <c r="D108" s="641" t="str">
        <f>_xlfn.IFERROR(VLOOKUP(C108,'Base de Monedas'!A:B,2,0),"")</f>
        <v>Guaraní</v>
      </c>
      <c r="E108" s="485">
        <v>0</v>
      </c>
      <c r="F108" s="641" t="s">
        <v>928</v>
      </c>
      <c r="H108" s="545"/>
      <c r="I108" s="336" t="s">
        <v>942</v>
      </c>
      <c r="J108" s="554" t="s">
        <v>943</v>
      </c>
      <c r="K108" s="485">
        <v>0</v>
      </c>
      <c r="L108" s="554" t="s">
        <v>928</v>
      </c>
    </row>
    <row r="109" spans="1:12" s="543" customFormat="1" ht="15" customHeight="1">
      <c r="A109" s="551" t="s">
        <v>938</v>
      </c>
      <c r="B109" s="545"/>
      <c r="C109" s="336"/>
      <c r="E109" s="485"/>
      <c r="H109" s="545">
        <v>44488</v>
      </c>
      <c r="I109" s="336" t="s">
        <v>942</v>
      </c>
      <c r="J109" s="554" t="s">
        <v>943</v>
      </c>
      <c r="K109" s="485">
        <v>-157567</v>
      </c>
      <c r="L109" s="554" t="s">
        <v>928</v>
      </c>
    </row>
    <row r="110" spans="1:12" s="543" customFormat="1" ht="15" customHeight="1">
      <c r="A110" s="551"/>
      <c r="B110" s="545"/>
      <c r="C110" s="336"/>
      <c r="E110" s="485"/>
      <c r="H110" s="545"/>
      <c r="I110" s="336"/>
      <c r="J110" s="554"/>
      <c r="K110" s="485"/>
      <c r="L110" s="554"/>
    </row>
    <row r="111" spans="1:12" s="543" customFormat="1" ht="15" customHeight="1">
      <c r="A111" s="556"/>
      <c r="B111" s="545"/>
      <c r="C111" s="336"/>
      <c r="E111" s="485"/>
      <c r="H111" s="545"/>
      <c r="I111" s="336"/>
      <c r="J111" s="554"/>
      <c r="K111" s="485"/>
      <c r="L111" s="554"/>
    </row>
    <row r="112" spans="1:12" s="543" customFormat="1" ht="15" customHeight="1">
      <c r="A112" s="550" t="s">
        <v>937</v>
      </c>
      <c r="B112" s="545"/>
      <c r="C112" s="336"/>
      <c r="E112" s="485"/>
      <c r="H112" s="550"/>
      <c r="I112" s="336"/>
      <c r="J112" s="554"/>
      <c r="K112" s="485"/>
      <c r="L112" s="554"/>
    </row>
    <row r="113" spans="1:12" s="543" customFormat="1" ht="15" customHeight="1">
      <c r="A113" s="544" t="s">
        <v>939</v>
      </c>
      <c r="B113" s="545"/>
      <c r="C113" s="336" t="s">
        <v>410</v>
      </c>
      <c r="D113" s="543" t="str">
        <f>_xlfn.IFERROR(VLOOKUP(C113,'Base de Monedas'!A:B,2,0),"")</f>
        <v>Guaraní</v>
      </c>
      <c r="E113" s="485">
        <v>0</v>
      </c>
      <c r="F113" s="543" t="s">
        <v>928</v>
      </c>
      <c r="H113" s="545">
        <v>44551</v>
      </c>
      <c r="I113" s="336" t="s">
        <v>942</v>
      </c>
      <c r="J113" s="641" t="s">
        <v>943</v>
      </c>
      <c r="K113" s="485">
        <v>-633090</v>
      </c>
      <c r="L113" s="554"/>
    </row>
    <row r="114" spans="1:12" s="543" customFormat="1" ht="15" customHeight="1">
      <c r="A114" s="544" t="s">
        <v>939</v>
      </c>
      <c r="B114" s="545">
        <v>44917</v>
      </c>
      <c r="C114" s="336" t="s">
        <v>410</v>
      </c>
      <c r="D114" s="543" t="str">
        <f>_xlfn.IFERROR(VLOOKUP(C114,'Base de Monedas'!A:B,2,0),"")</f>
        <v>Guaraní</v>
      </c>
      <c r="E114" s="485">
        <f>-(48400*4)-(50554*4)-(59319*4)+2</f>
        <v>-633090</v>
      </c>
      <c r="F114" s="543" t="s">
        <v>928</v>
      </c>
      <c r="H114" s="564"/>
      <c r="I114" s="557"/>
      <c r="J114" s="161"/>
      <c r="K114" s="539"/>
      <c r="L114" s="161"/>
    </row>
    <row r="115" spans="1:12" s="554" customFormat="1" ht="15" customHeight="1">
      <c r="A115" s="561"/>
      <c r="B115" s="552"/>
      <c r="C115" s="360"/>
      <c r="D115" s="359"/>
      <c r="E115" s="546"/>
      <c r="F115" s="359"/>
      <c r="G115" s="359"/>
      <c r="H115" s="552"/>
      <c r="I115" s="360"/>
      <c r="J115" s="359"/>
      <c r="K115" s="546"/>
      <c r="L115" s="359"/>
    </row>
    <row r="116" spans="1:11" s="322" customFormat="1" ht="15" customHeight="1">
      <c r="A116" s="127" t="s">
        <v>3</v>
      </c>
      <c r="C116" s="336"/>
      <c r="D116" s="322">
        <f>_xlfn.IFERROR(VLOOKUP(C116,'Base de Monedas'!A:B,2,0),"")</f>
      </c>
      <c r="E116" s="563">
        <f>SUM(E108:E114)-1</f>
        <v>-633091</v>
      </c>
      <c r="H116" s="545"/>
      <c r="I116" s="336"/>
      <c r="J116" s="322">
        <f>_xlfn.IFERROR(VLOOKUP(I116,'Base de Monedas'!A:B,2,0),"")</f>
      </c>
      <c r="K116" s="563">
        <f>SUM(K108:K115)</f>
        <v>-790657</v>
      </c>
    </row>
    <row r="117" spans="1:11" s="533" customFormat="1" ht="15" customHeight="1">
      <c r="A117" s="127" t="s">
        <v>971</v>
      </c>
      <c r="C117" s="336"/>
      <c r="E117" s="563">
        <f>+E31+E41+E68+E71+E79+E100+E104+E116+2</f>
        <v>19233195</v>
      </c>
      <c r="H117" s="127"/>
      <c r="I117" s="336"/>
      <c r="K117" s="563">
        <f>+K31+K41+K68+K71+K79+K100+K104+K116+5</f>
        <v>16836144</v>
      </c>
    </row>
    <row r="118" spans="1:11" s="533" customFormat="1" ht="15" customHeight="1">
      <c r="A118"/>
      <c r="B118" s="545"/>
      <c r="C118" s="545"/>
      <c r="D118" s="336"/>
      <c r="F118" s="485"/>
      <c r="H118" s="545"/>
      <c r="I118" s="336"/>
      <c r="K118" s="485"/>
    </row>
    <row r="119" spans="1:11" s="533" customFormat="1" ht="15" customHeight="1">
      <c r="A119" s="127" t="s">
        <v>815</v>
      </c>
      <c r="B119" s="545"/>
      <c r="C119" s="545"/>
      <c r="D119" s="336"/>
      <c r="F119" s="485"/>
      <c r="H119" s="545"/>
      <c r="I119" s="336"/>
      <c r="K119" s="485"/>
    </row>
    <row r="120" spans="1:11" s="533" customFormat="1" ht="15" customHeight="1">
      <c r="A120" s="26"/>
      <c r="B120" s="545"/>
      <c r="C120" s="545"/>
      <c r="D120" s="336"/>
      <c r="F120" s="485"/>
      <c r="H120" s="545"/>
      <c r="I120" s="336"/>
      <c r="K120" s="485"/>
    </row>
    <row r="121" spans="1:11" s="533" customFormat="1" ht="15" customHeight="1">
      <c r="A121" s="162" t="s">
        <v>821</v>
      </c>
      <c r="B121" s="545"/>
      <c r="C121" s="545"/>
      <c r="D121" s="336"/>
      <c r="F121" s="485"/>
      <c r="H121" s="545"/>
      <c r="I121" s="336"/>
      <c r="K121" s="485"/>
    </row>
    <row r="122" spans="1:12" s="533" customFormat="1" ht="15" customHeight="1">
      <c r="A122" s="533" t="s">
        <v>932</v>
      </c>
      <c r="B122" s="545"/>
      <c r="C122" s="336" t="s">
        <v>410</v>
      </c>
      <c r="D122" s="543" t="str">
        <f>_xlfn.IFERROR(VLOOKUP(C122,'Base de Monedas'!A:B,2,0),"")</f>
        <v>Guaraní</v>
      </c>
      <c r="E122" s="485"/>
      <c r="F122" s="543" t="s">
        <v>928</v>
      </c>
      <c r="H122" s="545">
        <v>44242</v>
      </c>
      <c r="I122" s="557" t="s">
        <v>410</v>
      </c>
      <c r="J122" s="161" t="s">
        <v>943</v>
      </c>
      <c r="K122" s="539"/>
      <c r="L122" s="161" t="s">
        <v>928</v>
      </c>
    </row>
    <row r="123" spans="1:12" s="627" customFormat="1" ht="15" customHeight="1">
      <c r="A123" s="627" t="s">
        <v>932</v>
      </c>
      <c r="B123" s="545"/>
      <c r="C123" s="336" t="s">
        <v>410</v>
      </c>
      <c r="D123" s="641" t="str">
        <f>_xlfn.IFERROR(VLOOKUP(C123,'Base de Monedas'!A:B,2,0),"")</f>
        <v>Guaraní</v>
      </c>
      <c r="E123" s="485"/>
      <c r="F123" s="641" t="s">
        <v>928</v>
      </c>
      <c r="H123" s="545">
        <v>44225</v>
      </c>
      <c r="I123" s="557" t="s">
        <v>410</v>
      </c>
      <c r="J123" s="161" t="s">
        <v>943</v>
      </c>
      <c r="K123" s="539"/>
      <c r="L123" s="161" t="s">
        <v>928</v>
      </c>
    </row>
    <row r="124" spans="1:12" s="627" customFormat="1" ht="15" customHeight="1">
      <c r="A124" s="627" t="s">
        <v>945</v>
      </c>
      <c r="B124" s="545"/>
      <c r="C124" s="336" t="s">
        <v>410</v>
      </c>
      <c r="D124" s="641" t="str">
        <f>_xlfn.IFERROR(VLOOKUP(C124,'Base de Monedas'!A:B,2,0),"")</f>
        <v>Guaraní</v>
      </c>
      <c r="E124" s="485"/>
      <c r="F124" s="641" t="s">
        <v>928</v>
      </c>
      <c r="H124" s="545">
        <v>44371</v>
      </c>
      <c r="I124" s="557" t="s">
        <v>410</v>
      </c>
      <c r="J124" s="161" t="s">
        <v>943</v>
      </c>
      <c r="K124" s="539"/>
      <c r="L124" s="161" t="s">
        <v>928</v>
      </c>
    </row>
    <row r="125" spans="1:12" s="641" customFormat="1" ht="15" customHeight="1">
      <c r="A125" s="641" t="s">
        <v>945</v>
      </c>
      <c r="B125" s="545"/>
      <c r="C125" s="336" t="s">
        <v>410</v>
      </c>
      <c r="D125" s="641" t="str">
        <f>_xlfn.IFERROR(VLOOKUP(C125,'Base de Monedas'!A:B,2,0),"")</f>
        <v>Guaraní</v>
      </c>
      <c r="E125" s="485"/>
      <c r="F125" s="641" t="s">
        <v>928</v>
      </c>
      <c r="H125" s="545"/>
      <c r="I125" s="557"/>
      <c r="J125" s="161"/>
      <c r="K125" s="539"/>
      <c r="L125" s="161"/>
    </row>
    <row r="126" spans="1:12" s="627" customFormat="1" ht="15" customHeight="1">
      <c r="A126" s="641" t="s">
        <v>945</v>
      </c>
      <c r="B126" s="545"/>
      <c r="C126" s="336" t="s">
        <v>410</v>
      </c>
      <c r="D126" s="641" t="str">
        <f>_xlfn.IFERROR(VLOOKUP(C126,'Base de Monedas'!A:B,2,0),"")</f>
        <v>Guaraní</v>
      </c>
      <c r="E126" s="485"/>
      <c r="F126" s="641" t="s">
        <v>928</v>
      </c>
      <c r="H126" s="545">
        <v>44316</v>
      </c>
      <c r="I126" s="557" t="s">
        <v>410</v>
      </c>
      <c r="J126" s="161" t="s">
        <v>943</v>
      </c>
      <c r="K126" s="539"/>
      <c r="L126" s="161" t="s">
        <v>928</v>
      </c>
    </row>
    <row r="127" spans="1:12" s="641" customFormat="1" ht="15" customHeight="1">
      <c r="A127" s="641" t="s">
        <v>930</v>
      </c>
      <c r="B127" s="545"/>
      <c r="C127" s="336" t="s">
        <v>410</v>
      </c>
      <c r="D127" s="641" t="str">
        <f>_xlfn.IFERROR(VLOOKUP(C127,'Base de Monedas'!A:B,2,0),"")</f>
        <v>Guaraní</v>
      </c>
      <c r="E127" s="485"/>
      <c r="F127" s="641" t="s">
        <v>928</v>
      </c>
      <c r="H127" s="545"/>
      <c r="I127" s="557"/>
      <c r="J127" s="161"/>
      <c r="K127" s="539"/>
      <c r="L127" s="161"/>
    </row>
    <row r="128" spans="1:12" s="641" customFormat="1" ht="15" customHeight="1">
      <c r="A128" s="641" t="s">
        <v>930</v>
      </c>
      <c r="B128" s="545"/>
      <c r="C128" s="336" t="s">
        <v>410</v>
      </c>
      <c r="D128" s="641" t="str">
        <f>_xlfn.IFERROR(VLOOKUP(C128,'Base de Monedas'!A:B,2,0),"")</f>
        <v>Guaraní</v>
      </c>
      <c r="E128" s="485"/>
      <c r="F128" s="641" t="s">
        <v>928</v>
      </c>
      <c r="H128" s="545"/>
      <c r="I128" s="557"/>
      <c r="J128" s="161"/>
      <c r="K128" s="539"/>
      <c r="L128" s="161"/>
    </row>
    <row r="129" spans="1:12" s="627" customFormat="1" ht="15" customHeight="1">
      <c r="A129" s="627" t="s">
        <v>993</v>
      </c>
      <c r="B129" s="545"/>
      <c r="C129" s="336" t="s">
        <v>410</v>
      </c>
      <c r="D129" s="641" t="str">
        <f>_xlfn.IFERROR(VLOOKUP(C129,'Base de Monedas'!A:B,2,0),"")</f>
        <v>Guaraní</v>
      </c>
      <c r="E129" s="485"/>
      <c r="F129" s="641" t="s">
        <v>928</v>
      </c>
      <c r="H129" s="545">
        <v>44325</v>
      </c>
      <c r="I129" s="557" t="s">
        <v>410</v>
      </c>
      <c r="J129" s="161" t="s">
        <v>943</v>
      </c>
      <c r="K129" s="539"/>
      <c r="L129" s="161" t="s">
        <v>928</v>
      </c>
    </row>
    <row r="130" spans="1:12" s="533" customFormat="1" ht="15" customHeight="1">
      <c r="A130" s="562" t="s">
        <v>993</v>
      </c>
      <c r="B130" s="552"/>
      <c r="C130" s="360" t="s">
        <v>410</v>
      </c>
      <c r="D130" s="359" t="str">
        <f>_xlfn.IFERROR(VLOOKUP(C130,'Base de Monedas'!A:B,2,0),"")</f>
        <v>Guaraní</v>
      </c>
      <c r="E130" s="546"/>
      <c r="F130" s="359" t="s">
        <v>928</v>
      </c>
      <c r="G130" s="359"/>
      <c r="H130" s="552">
        <v>44345</v>
      </c>
      <c r="I130" s="360" t="s">
        <v>410</v>
      </c>
      <c r="J130" s="359" t="s">
        <v>943</v>
      </c>
      <c r="K130" s="546"/>
      <c r="L130" s="359" t="s">
        <v>928</v>
      </c>
    </row>
    <row r="131" spans="1:11" s="533" customFormat="1" ht="15" customHeight="1">
      <c r="A131" s="357"/>
      <c r="B131" s="545"/>
      <c r="C131" s="545"/>
      <c r="D131" s="336"/>
      <c r="E131" s="563">
        <f>SUM(E122:E130)</f>
        <v>0</v>
      </c>
      <c r="F131" s="485"/>
      <c r="H131" s="545"/>
      <c r="I131" s="336"/>
      <c r="K131" s="485">
        <f>SUM(K122:K130)</f>
        <v>0</v>
      </c>
    </row>
    <row r="132" spans="1:11" s="554" customFormat="1" ht="15" customHeight="1">
      <c r="A132" s="357"/>
      <c r="B132" s="545"/>
      <c r="C132" s="545"/>
      <c r="D132" s="336"/>
      <c r="E132" s="485"/>
      <c r="F132" s="485"/>
      <c r="H132" s="545"/>
      <c r="I132" s="336"/>
      <c r="K132" s="485"/>
    </row>
    <row r="133" spans="1:11" s="533" customFormat="1" ht="15" customHeight="1">
      <c r="A133" s="547" t="s">
        <v>933</v>
      </c>
      <c r="B133" s="545"/>
      <c r="C133" s="545"/>
      <c r="D133" s="336"/>
      <c r="E133" s="485"/>
      <c r="F133" s="485"/>
      <c r="H133" s="545"/>
      <c r="I133" s="336"/>
      <c r="K133" s="485"/>
    </row>
    <row r="134" spans="1:12" s="533" customFormat="1" ht="15" customHeight="1">
      <c r="A134" s="562" t="s">
        <v>934</v>
      </c>
      <c r="B134" s="552">
        <v>45290</v>
      </c>
      <c r="C134" s="360" t="s">
        <v>410</v>
      </c>
      <c r="D134" s="359" t="str">
        <f>_xlfn.IFERROR(VLOOKUP(C134,'Base de Monedas'!A:B,2,0),"")</f>
        <v>Guaraní</v>
      </c>
      <c r="E134" s="546">
        <v>650000</v>
      </c>
      <c r="F134" s="359" t="s">
        <v>928</v>
      </c>
      <c r="G134" s="359"/>
      <c r="H134" s="552">
        <v>44563</v>
      </c>
      <c r="I134" s="360" t="s">
        <v>410</v>
      </c>
      <c r="J134" s="359" t="s">
        <v>943</v>
      </c>
      <c r="K134" s="546">
        <v>650000</v>
      </c>
      <c r="L134" s="359" t="s">
        <v>928</v>
      </c>
    </row>
    <row r="135" spans="1:11" s="533" customFormat="1" ht="15" customHeight="1">
      <c r="A135" s="357"/>
      <c r="B135" s="545"/>
      <c r="C135" s="545"/>
      <c r="D135" s="336"/>
      <c r="E135" s="563">
        <f>+E134</f>
        <v>650000</v>
      </c>
      <c r="F135" s="485"/>
      <c r="H135" s="545"/>
      <c r="I135" s="336"/>
      <c r="K135" s="563">
        <f>+K134</f>
        <v>650000</v>
      </c>
    </row>
    <row r="136" spans="1:11" s="554" customFormat="1" ht="15" customHeight="1">
      <c r="A136" s="357"/>
      <c r="B136" s="545"/>
      <c r="C136" s="545"/>
      <c r="D136" s="336"/>
      <c r="E136" s="563"/>
      <c r="F136" s="485"/>
      <c r="H136" s="545"/>
      <c r="I136" s="336"/>
      <c r="K136" s="485"/>
    </row>
    <row r="137" spans="1:11" s="533" customFormat="1" ht="15" customHeight="1">
      <c r="A137" s="532" t="s">
        <v>935</v>
      </c>
      <c r="B137" s="545"/>
      <c r="C137" s="545"/>
      <c r="D137" s="336"/>
      <c r="E137" s="485"/>
      <c r="F137" s="485"/>
      <c r="H137" s="545"/>
      <c r="I137" s="336"/>
      <c r="K137" s="485"/>
    </row>
    <row r="138" spans="1:11" s="627" customFormat="1" ht="15" customHeight="1">
      <c r="A138" s="626"/>
      <c r="B138" s="545"/>
      <c r="C138" s="545"/>
      <c r="D138" s="336"/>
      <c r="E138" s="485"/>
      <c r="F138" s="485"/>
      <c r="H138" s="545"/>
      <c r="I138" s="336"/>
      <c r="K138" s="485"/>
    </row>
    <row r="139" spans="1:11" s="627" customFormat="1" ht="15" customHeight="1">
      <c r="A139" s="127" t="s">
        <v>936</v>
      </c>
      <c r="B139" s="545"/>
      <c r="C139" s="545"/>
      <c r="D139" s="336"/>
      <c r="E139" s="485"/>
      <c r="F139" s="485"/>
      <c r="H139" s="127" t="s">
        <v>936</v>
      </c>
      <c r="I139" s="336"/>
      <c r="K139" s="485"/>
    </row>
    <row r="140" spans="1:12" s="627" customFormat="1" ht="15" customHeight="1">
      <c r="A140" s="628" t="s">
        <v>941</v>
      </c>
      <c r="B140" s="545"/>
      <c r="C140" s="545"/>
      <c r="D140" s="336"/>
      <c r="E140" s="485"/>
      <c r="F140" s="485"/>
      <c r="H140" s="629">
        <v>44488</v>
      </c>
      <c r="I140" s="336" t="s">
        <v>410</v>
      </c>
      <c r="J140" s="627" t="s">
        <v>943</v>
      </c>
      <c r="K140" s="485">
        <v>0</v>
      </c>
      <c r="L140" s="485" t="s">
        <v>928</v>
      </c>
    </row>
    <row r="141" spans="1:11" s="554" customFormat="1" ht="15" customHeight="1">
      <c r="A141" s="553"/>
      <c r="B141" s="545"/>
      <c r="C141" s="545"/>
      <c r="D141" s="336"/>
      <c r="E141" s="485"/>
      <c r="F141" s="485"/>
      <c r="H141" s="545"/>
      <c r="I141" s="336"/>
      <c r="K141" s="485"/>
    </row>
    <row r="142" spans="1:11" s="533" customFormat="1" ht="15" customHeight="1">
      <c r="A142" s="127" t="s">
        <v>937</v>
      </c>
      <c r="B142" s="545"/>
      <c r="C142" s="545"/>
      <c r="D142" s="336"/>
      <c r="F142" s="485"/>
      <c r="H142" s="127" t="s">
        <v>937</v>
      </c>
      <c r="I142" s="545"/>
      <c r="J142" s="545"/>
      <c r="K142" s="336"/>
    </row>
    <row r="143" spans="1:12" s="322" customFormat="1" ht="15" customHeight="1">
      <c r="A143" s="534" t="s">
        <v>939</v>
      </c>
      <c r="B143" s="545"/>
      <c r="C143" s="336" t="s">
        <v>410</v>
      </c>
      <c r="D143" s="543" t="str">
        <f>_xlfn.IFERROR(VLOOKUP(C143,'Base de Monedas'!A:B,2,0),"")</f>
        <v>Guaraní</v>
      </c>
      <c r="E143" s="485">
        <v>0</v>
      </c>
      <c r="F143" s="485" t="s">
        <v>928</v>
      </c>
      <c r="H143" s="545">
        <v>44917</v>
      </c>
      <c r="I143" s="336" t="s">
        <v>410</v>
      </c>
      <c r="J143" s="641" t="s">
        <v>943</v>
      </c>
      <c r="K143" s="485">
        <v>1760000</v>
      </c>
      <c r="L143" s="485" t="s">
        <v>928</v>
      </c>
    </row>
    <row r="144" spans="1:12" s="322" customFormat="1" ht="15" customHeight="1">
      <c r="A144" s="534" t="s">
        <v>940</v>
      </c>
      <c r="B144" s="545">
        <v>45281</v>
      </c>
      <c r="C144" s="336" t="s">
        <v>410</v>
      </c>
      <c r="D144" s="543" t="str">
        <f>_xlfn.IFERROR(VLOOKUP(C144,'Base de Monedas'!A:B,2,0),"")</f>
        <v>Guaraní</v>
      </c>
      <c r="E144" s="485">
        <f>1760000</f>
        <v>1760000</v>
      </c>
      <c r="F144" s="485" t="s">
        <v>928</v>
      </c>
      <c r="H144" s="545">
        <v>45281</v>
      </c>
      <c r="I144" s="336" t="s">
        <v>410</v>
      </c>
      <c r="J144" s="641" t="s">
        <v>943</v>
      </c>
      <c r="K144" s="485">
        <v>1760000</v>
      </c>
      <c r="L144" s="485" t="s">
        <v>928</v>
      </c>
    </row>
    <row r="145" spans="1:12" s="322" customFormat="1" ht="15" customHeight="1">
      <c r="A145" s="534" t="s">
        <v>941</v>
      </c>
      <c r="B145" s="545">
        <v>45645</v>
      </c>
      <c r="C145" s="336" t="s">
        <v>410</v>
      </c>
      <c r="D145" s="543" t="str">
        <f>_xlfn.IFERROR(VLOOKUP(C145,'Base de Monedas'!A:B,2,0),"")</f>
        <v>Guaraní</v>
      </c>
      <c r="E145" s="485">
        <f>1980000</f>
        <v>1980000</v>
      </c>
      <c r="F145" s="485" t="s">
        <v>928</v>
      </c>
      <c r="H145" s="545">
        <v>45645</v>
      </c>
      <c r="I145" s="336" t="s">
        <v>410</v>
      </c>
      <c r="J145" s="641" t="s">
        <v>943</v>
      </c>
      <c r="K145" s="485">
        <v>1980000</v>
      </c>
      <c r="L145" s="485" t="s">
        <v>928</v>
      </c>
    </row>
    <row r="146" spans="1:11" s="322" customFormat="1" ht="15" customHeight="1">
      <c r="A146" s="533"/>
      <c r="C146" s="336"/>
      <c r="D146" s="322">
        <f>_xlfn.IFERROR(VLOOKUP(C146,'Base de Monedas'!A:B,2,0),"")</f>
      </c>
      <c r="E146" s="485"/>
      <c r="H146" s="545"/>
      <c r="I146" s="336"/>
      <c r="J146" s="322">
        <f>_xlfn.IFERROR(VLOOKUP(I146,'Base de Monedas'!A:B,2,0),"")</f>
      </c>
      <c r="K146" s="485"/>
    </row>
    <row r="147" spans="1:13" s="322" customFormat="1" ht="15" customHeight="1">
      <c r="A147" s="357" t="s">
        <v>120</v>
      </c>
      <c r="B147" s="359"/>
      <c r="C147" s="360"/>
      <c r="D147" s="359">
        <f>_xlfn.IFERROR(VLOOKUP(C147,'Base de Monedas'!A:B,2,0),"")</f>
      </c>
      <c r="E147" s="546"/>
      <c r="F147" s="359"/>
      <c r="G147" s="359"/>
      <c r="H147" s="552"/>
      <c r="I147" s="359"/>
      <c r="J147" s="359"/>
      <c r="K147" s="546"/>
      <c r="L147" s="359"/>
      <c r="M147" s="161"/>
    </row>
    <row r="148" spans="1:13" s="554" customFormat="1" ht="15" customHeight="1">
      <c r="A148" s="357"/>
      <c r="B148" s="161"/>
      <c r="C148" s="557"/>
      <c r="D148" s="161"/>
      <c r="E148" s="563">
        <f>SUM(E143:E147)</f>
        <v>3740000</v>
      </c>
      <c r="F148" s="161"/>
      <c r="G148" s="161"/>
      <c r="H148" s="564"/>
      <c r="I148" s="161"/>
      <c r="J148" s="161"/>
      <c r="K148" s="566">
        <f>SUM(K143:K145)</f>
        <v>5500000</v>
      </c>
      <c r="L148" s="161"/>
      <c r="M148" s="161"/>
    </row>
    <row r="149" spans="1:11" s="322" customFormat="1" ht="15" customHeight="1">
      <c r="A149" s="162" t="s">
        <v>820</v>
      </c>
      <c r="C149" s="336"/>
      <c r="D149" s="322">
        <f>_xlfn.IFERROR(VLOOKUP(C149,'Base de Monedas'!A:B,2,0),"")</f>
      </c>
      <c r="E149" s="563"/>
      <c r="H149" s="545"/>
      <c r="I149" s="336"/>
      <c r="J149" s="322">
        <f>_xlfn.IFERROR(VLOOKUP(I149,'Base de Monedas'!A:B,2,0),"")</f>
      </c>
      <c r="K149" s="485"/>
    </row>
    <row r="150" spans="1:11" ht="15" customHeight="1">
      <c r="A150" s="322" t="s">
        <v>818</v>
      </c>
      <c r="E150" s="485"/>
      <c r="H150" s="545"/>
      <c r="I150" s="336"/>
      <c r="J150" s="322">
        <f>_xlfn.IFERROR(VLOOKUP(I150,'Base de Monedas'!H:I,2,0),"")</f>
      </c>
      <c r="K150" s="485"/>
    </row>
    <row r="151" spans="1:11" ht="15" customHeight="1">
      <c r="A151" s="322" t="s">
        <v>818</v>
      </c>
      <c r="E151" s="485"/>
      <c r="H151" s="545"/>
      <c r="K151" s="485"/>
    </row>
    <row r="152" spans="1:11" ht="15" customHeight="1">
      <c r="A152" s="357" t="s">
        <v>119</v>
      </c>
      <c r="E152" s="485"/>
      <c r="H152" s="545"/>
      <c r="K152" s="485"/>
    </row>
    <row r="153" spans="1:11" ht="15" customHeight="1">
      <c r="A153" s="322" t="s">
        <v>237</v>
      </c>
      <c r="E153" s="485"/>
      <c r="H153" s="545"/>
      <c r="K153" s="485"/>
    </row>
    <row r="154" spans="1:11" ht="15" customHeight="1">
      <c r="A154" s="357" t="s">
        <v>120</v>
      </c>
      <c r="E154" s="485"/>
      <c r="H154" s="545"/>
      <c r="K154" s="485"/>
    </row>
    <row r="155" spans="1:11" s="543" customFormat="1" ht="15" customHeight="1">
      <c r="A155" s="357"/>
      <c r="E155" s="485"/>
      <c r="H155" s="545"/>
      <c r="K155" s="485"/>
    </row>
    <row r="156" spans="1:11" ht="15" customHeight="1">
      <c r="A156" s="127" t="s">
        <v>822</v>
      </c>
      <c r="E156" s="485"/>
      <c r="H156" s="545"/>
      <c r="K156" s="485"/>
    </row>
    <row r="157" spans="1:12" s="622" customFormat="1" ht="15" customHeight="1">
      <c r="A157" s="559" t="s">
        <v>993</v>
      </c>
      <c r="B157" s="545"/>
      <c r="C157" s="557" t="s">
        <v>410</v>
      </c>
      <c r="D157" s="161" t="str">
        <f>_xlfn.IFERROR(VLOOKUP(C157,'Base de Monedas'!A:B,2,0),"")</f>
        <v>Guaraní</v>
      </c>
      <c r="E157" s="485"/>
      <c r="F157" s="622" t="s">
        <v>928</v>
      </c>
      <c r="H157" s="545">
        <v>44345</v>
      </c>
      <c r="I157" s="336" t="s">
        <v>942</v>
      </c>
      <c r="J157" s="627" t="s">
        <v>943</v>
      </c>
      <c r="K157" s="485"/>
      <c r="L157" s="161" t="s">
        <v>928</v>
      </c>
    </row>
    <row r="158" spans="1:12" s="627" customFormat="1" ht="15" customHeight="1">
      <c r="A158" s="559" t="s">
        <v>993</v>
      </c>
      <c r="B158" s="545"/>
      <c r="C158" s="557" t="s">
        <v>410</v>
      </c>
      <c r="D158" s="161" t="str">
        <f>_xlfn.IFERROR(VLOOKUP(C158,'Base de Monedas'!A:B,2,0),"")</f>
        <v>Guaraní</v>
      </c>
      <c r="E158" s="485"/>
      <c r="F158" s="641" t="s">
        <v>928</v>
      </c>
      <c r="H158" s="545">
        <v>44325</v>
      </c>
      <c r="I158" s="336" t="s">
        <v>942</v>
      </c>
      <c r="J158" s="627" t="s">
        <v>943</v>
      </c>
      <c r="K158" s="485"/>
      <c r="L158" s="161" t="s">
        <v>928</v>
      </c>
    </row>
    <row r="159" spans="1:12" s="627" customFormat="1" ht="15" customHeight="1">
      <c r="A159" s="641" t="s">
        <v>945</v>
      </c>
      <c r="B159" s="545"/>
      <c r="C159" s="557" t="s">
        <v>410</v>
      </c>
      <c r="D159" s="161" t="str">
        <f>_xlfn.IFERROR(VLOOKUP(C159,'Base de Monedas'!A:B,2,0),"")</f>
        <v>Guaraní</v>
      </c>
      <c r="E159" s="485"/>
      <c r="F159" s="641" t="s">
        <v>928</v>
      </c>
      <c r="H159" s="545">
        <v>44316</v>
      </c>
      <c r="I159" s="336" t="s">
        <v>942</v>
      </c>
      <c r="J159" s="627" t="s">
        <v>943</v>
      </c>
      <c r="K159" s="485"/>
      <c r="L159" s="161" t="s">
        <v>928</v>
      </c>
    </row>
    <row r="160" spans="1:12" s="627" customFormat="1" ht="15" customHeight="1">
      <c r="A160" s="627" t="s">
        <v>945</v>
      </c>
      <c r="B160" s="545"/>
      <c r="C160" s="557" t="s">
        <v>410</v>
      </c>
      <c r="D160" s="161" t="str">
        <f>_xlfn.IFERROR(VLOOKUP(C160,'Base de Monedas'!A:B,2,0),"")</f>
        <v>Guaraní</v>
      </c>
      <c r="E160" s="485"/>
      <c r="F160" s="641" t="s">
        <v>928</v>
      </c>
      <c r="H160" s="545">
        <v>44371</v>
      </c>
      <c r="I160" s="336" t="s">
        <v>942</v>
      </c>
      <c r="J160" s="627" t="s">
        <v>943</v>
      </c>
      <c r="K160" s="485"/>
      <c r="L160" s="161" t="s">
        <v>928</v>
      </c>
    </row>
    <row r="161" spans="1:12" s="627" customFormat="1" ht="15" customHeight="1">
      <c r="A161" s="641" t="s">
        <v>945</v>
      </c>
      <c r="B161" s="545"/>
      <c r="C161" s="557" t="s">
        <v>410</v>
      </c>
      <c r="D161" s="161" t="str">
        <f>_xlfn.IFERROR(VLOOKUP(C161,'Base de Monedas'!A:B,2,0),"")</f>
        <v>Guaraní</v>
      </c>
      <c r="E161" s="485"/>
      <c r="F161" s="641" t="s">
        <v>928</v>
      </c>
      <c r="H161" s="545">
        <v>44242</v>
      </c>
      <c r="I161" s="336" t="s">
        <v>942</v>
      </c>
      <c r="J161" s="627" t="s">
        <v>943</v>
      </c>
      <c r="K161" s="485"/>
      <c r="L161" s="161" t="s">
        <v>928</v>
      </c>
    </row>
    <row r="162" spans="1:12" s="641" customFormat="1" ht="15" customHeight="1">
      <c r="A162" s="641" t="s">
        <v>930</v>
      </c>
      <c r="B162" s="545"/>
      <c r="C162" s="557" t="s">
        <v>410</v>
      </c>
      <c r="D162" s="161" t="str">
        <f>_xlfn.IFERROR(VLOOKUP(C162,'Base de Monedas'!A:B,2,0),"")</f>
        <v>Guaraní</v>
      </c>
      <c r="E162" s="485"/>
      <c r="F162" s="641" t="s">
        <v>928</v>
      </c>
      <c r="H162" s="545"/>
      <c r="I162" s="336"/>
      <c r="K162" s="485"/>
      <c r="L162" s="161"/>
    </row>
    <row r="163" spans="1:12" s="641" customFormat="1" ht="15" customHeight="1">
      <c r="A163" s="641" t="s">
        <v>930</v>
      </c>
      <c r="B163" s="545"/>
      <c r="C163" s="557" t="s">
        <v>410</v>
      </c>
      <c r="D163" s="161" t="str">
        <f>_xlfn.IFERROR(VLOOKUP(C163,'Base de Monedas'!A:B,2,0),"")</f>
        <v>Guaraní</v>
      </c>
      <c r="E163" s="485"/>
      <c r="F163" s="641" t="s">
        <v>928</v>
      </c>
      <c r="H163" s="545"/>
      <c r="I163" s="336"/>
      <c r="K163" s="485"/>
      <c r="L163" s="161"/>
    </row>
    <row r="164" spans="1:12" s="641" customFormat="1" ht="15" customHeight="1">
      <c r="A164" s="641" t="s">
        <v>932</v>
      </c>
      <c r="B164" s="545"/>
      <c r="C164" s="557" t="s">
        <v>410</v>
      </c>
      <c r="D164" s="161" t="str">
        <f>_xlfn.IFERROR(VLOOKUP(C164,'Base de Monedas'!A:B,2,0),"")</f>
        <v>Guaraní</v>
      </c>
      <c r="E164" s="485"/>
      <c r="F164" s="641" t="s">
        <v>928</v>
      </c>
      <c r="H164" s="545"/>
      <c r="I164" s="336"/>
      <c r="K164" s="485"/>
      <c r="L164" s="161"/>
    </row>
    <row r="165" spans="1:12" s="543" customFormat="1" ht="15" customHeight="1">
      <c r="A165" s="359" t="s">
        <v>932</v>
      </c>
      <c r="B165" s="552"/>
      <c r="C165" s="360" t="s">
        <v>410</v>
      </c>
      <c r="D165" s="359" t="str">
        <f>_xlfn.IFERROR(VLOOKUP(C165,'Base de Monedas'!A:B,2,0),"")</f>
        <v>Guaraní</v>
      </c>
      <c r="E165" s="546"/>
      <c r="F165" s="546" t="s">
        <v>928</v>
      </c>
      <c r="G165" s="359"/>
      <c r="H165" s="552">
        <v>44225</v>
      </c>
      <c r="I165" s="360" t="s">
        <v>942</v>
      </c>
      <c r="J165" s="359" t="s">
        <v>943</v>
      </c>
      <c r="K165" s="546">
        <v>0</v>
      </c>
      <c r="L165" s="359" t="s">
        <v>928</v>
      </c>
    </row>
    <row r="166" spans="2:11" s="554" customFormat="1" ht="15" customHeight="1">
      <c r="B166" s="545"/>
      <c r="C166" s="336"/>
      <c r="E166" s="563">
        <f>SUM(E157:E165)</f>
        <v>0</v>
      </c>
      <c r="F166" s="485"/>
      <c r="H166" s="545"/>
      <c r="K166" s="485">
        <f>SUM(K157:K165)</f>
        <v>0</v>
      </c>
    </row>
    <row r="167" spans="1:11" s="543" customFormat="1" ht="15" customHeight="1">
      <c r="A167" s="127"/>
      <c r="E167" s="485"/>
      <c r="H167" s="545"/>
      <c r="K167" s="485"/>
    </row>
    <row r="168" spans="1:11" s="543" customFormat="1" ht="15" customHeight="1">
      <c r="A168" s="127" t="s">
        <v>951</v>
      </c>
      <c r="E168" s="485"/>
      <c r="H168" s="545"/>
      <c r="K168" s="485"/>
    </row>
    <row r="169" spans="1:12" s="543" customFormat="1" ht="15" customHeight="1">
      <c r="A169" s="565" t="s">
        <v>949</v>
      </c>
      <c r="B169" s="552">
        <v>44563</v>
      </c>
      <c r="C169" s="360" t="s">
        <v>410</v>
      </c>
      <c r="D169" s="359" t="str">
        <f>_xlfn.IFERROR(VLOOKUP(C169,'Base de Monedas'!A:B,2,0),"")</f>
        <v>Guaraní</v>
      </c>
      <c r="E169" s="546">
        <v>78000</v>
      </c>
      <c r="F169" s="546" t="s">
        <v>928</v>
      </c>
      <c r="G169" s="359"/>
      <c r="H169" s="552">
        <v>44563</v>
      </c>
      <c r="I169" s="360" t="s">
        <v>942</v>
      </c>
      <c r="J169" s="359" t="s">
        <v>943</v>
      </c>
      <c r="K169" s="546">
        <v>78000</v>
      </c>
      <c r="L169" s="359" t="s">
        <v>928</v>
      </c>
    </row>
    <row r="170" spans="1:11" s="554" customFormat="1" ht="15" customHeight="1">
      <c r="A170" s="559"/>
      <c r="B170" s="545"/>
      <c r="C170" s="336"/>
      <c r="E170" s="563">
        <f>+E169</f>
        <v>78000</v>
      </c>
      <c r="F170" s="485"/>
      <c r="H170" s="545"/>
      <c r="K170" s="563">
        <f>+K169</f>
        <v>78000</v>
      </c>
    </row>
    <row r="171" spans="1:11" s="543" customFormat="1" ht="15" customHeight="1">
      <c r="A171" s="127"/>
      <c r="E171" s="485"/>
      <c r="H171" s="545"/>
      <c r="K171" s="485"/>
    </row>
    <row r="172" spans="1:11" s="543" customFormat="1" ht="15" customHeight="1">
      <c r="A172" s="127" t="s">
        <v>952</v>
      </c>
      <c r="E172" s="485"/>
      <c r="H172" s="545"/>
      <c r="K172" s="485"/>
    </row>
    <row r="173" spans="1:11" s="554" customFormat="1" ht="15" customHeight="1">
      <c r="A173" s="127"/>
      <c r="E173" s="485"/>
      <c r="H173" s="545"/>
      <c r="K173" s="485"/>
    </row>
    <row r="174" spans="1:11" s="543" customFormat="1" ht="15" customHeight="1">
      <c r="A174" s="127" t="s">
        <v>937</v>
      </c>
      <c r="E174" s="485"/>
      <c r="H174" s="545"/>
      <c r="K174" s="485"/>
    </row>
    <row r="175" spans="1:12" s="543" customFormat="1" ht="15" customHeight="1">
      <c r="A175" s="651" t="s">
        <v>1009</v>
      </c>
      <c r="B175" s="545">
        <v>44916</v>
      </c>
      <c r="C175" s="336" t="s">
        <v>410</v>
      </c>
      <c r="D175" s="543" t="str">
        <f>_xlfn.IFERROR(VLOOKUP(C175,'Base de Monedas'!A:B,2,0),"")</f>
        <v>Guaraní</v>
      </c>
      <c r="E175" s="485">
        <f>50461*4</f>
        <v>201844</v>
      </c>
      <c r="F175" s="485" t="s">
        <v>928</v>
      </c>
      <c r="H175" s="545">
        <v>44917</v>
      </c>
      <c r="I175" s="336" t="s">
        <v>942</v>
      </c>
      <c r="J175" s="641" t="s">
        <v>943</v>
      </c>
      <c r="K175" s="485">
        <v>635336</v>
      </c>
      <c r="L175" s="485" t="s">
        <v>928</v>
      </c>
    </row>
    <row r="176" spans="1:12" s="543" customFormat="1" ht="15" customHeight="1">
      <c r="A176" s="651" t="s">
        <v>1009</v>
      </c>
      <c r="B176" s="545">
        <v>45645</v>
      </c>
      <c r="C176" s="336" t="s">
        <v>410</v>
      </c>
      <c r="D176" s="543" t="str">
        <f>_xlfn.IFERROR(VLOOKUP(C176,'Base de Monedas'!A:B,2,0),"")</f>
        <v>Guaraní</v>
      </c>
      <c r="E176" s="485">
        <f>59237*8</f>
        <v>473896</v>
      </c>
      <c r="F176" s="485" t="s">
        <v>928</v>
      </c>
      <c r="H176" s="545">
        <v>45281</v>
      </c>
      <c r="I176" s="336" t="s">
        <v>942</v>
      </c>
      <c r="J176" s="641" t="s">
        <v>943</v>
      </c>
      <c r="K176" s="485">
        <v>438795</v>
      </c>
      <c r="L176" s="485" t="s">
        <v>928</v>
      </c>
    </row>
    <row r="177" spans="1:12" s="543" customFormat="1" ht="15" customHeight="1">
      <c r="A177" s="544" t="s">
        <v>939</v>
      </c>
      <c r="B177" s="545"/>
      <c r="C177" s="336" t="s">
        <v>410</v>
      </c>
      <c r="D177" s="543" t="str">
        <f>_xlfn.IFERROR(VLOOKUP(C177,'Base de Monedas'!A:B,2,0),"")</f>
        <v>Guaraní</v>
      </c>
      <c r="E177" s="485">
        <v>0</v>
      </c>
      <c r="F177" s="485" t="s">
        <v>928</v>
      </c>
      <c r="H177" s="545">
        <v>45647</v>
      </c>
      <c r="I177" s="336" t="s">
        <v>942</v>
      </c>
      <c r="J177" s="641" t="s">
        <v>943</v>
      </c>
      <c r="K177" s="485">
        <v>236949</v>
      </c>
      <c r="L177" s="485" t="s">
        <v>928</v>
      </c>
    </row>
    <row r="178" spans="1:12" s="543" customFormat="1" ht="15" customHeight="1">
      <c r="A178" s="561"/>
      <c r="B178" s="552"/>
      <c r="C178" s="360"/>
      <c r="D178" s="359">
        <f>_xlfn.IFERROR(VLOOKUP(C178,'Base de Monedas'!A:B,2,0),"")</f>
      </c>
      <c r="E178" s="546"/>
      <c r="F178" s="546"/>
      <c r="G178" s="359"/>
      <c r="H178" s="552"/>
      <c r="I178" s="360"/>
      <c r="J178" s="359"/>
      <c r="K178" s="546"/>
      <c r="L178" s="546"/>
    </row>
    <row r="179" spans="1:11" s="543" customFormat="1" ht="15" customHeight="1">
      <c r="A179" s="127"/>
      <c r="E179" s="563">
        <f>SUM(E175:E178)+1+3</f>
        <v>675744</v>
      </c>
      <c r="H179" s="545"/>
      <c r="K179" s="563">
        <f>SUM(K175:K177)-1</f>
        <v>1311079</v>
      </c>
    </row>
    <row r="180" spans="1:11" s="554" customFormat="1" ht="15" customHeight="1">
      <c r="A180" s="127"/>
      <c r="E180" s="485"/>
      <c r="H180" s="545"/>
      <c r="K180" s="485"/>
    </row>
    <row r="181" spans="1:11" ht="15" customHeight="1">
      <c r="A181" s="127" t="s">
        <v>823</v>
      </c>
      <c r="E181" s="485"/>
      <c r="H181" s="545"/>
      <c r="K181" s="485"/>
    </row>
    <row r="182" spans="1:11" s="543" customFormat="1" ht="15" customHeight="1">
      <c r="A182" s="127" t="s">
        <v>953</v>
      </c>
      <c r="E182" s="485"/>
      <c r="H182" s="545"/>
      <c r="K182" s="485"/>
    </row>
    <row r="183" spans="1:11" s="622" customFormat="1" ht="15" customHeight="1">
      <c r="A183" s="559" t="s">
        <v>993</v>
      </c>
      <c r="B183" s="545"/>
      <c r="C183" s="336" t="s">
        <v>410</v>
      </c>
      <c r="D183" s="622" t="s">
        <v>734</v>
      </c>
      <c r="E183" s="485"/>
      <c r="F183" s="622" t="s">
        <v>928</v>
      </c>
      <c r="H183" s="545"/>
      <c r="K183" s="485"/>
    </row>
    <row r="184" spans="1:12" s="627" customFormat="1" ht="15" customHeight="1">
      <c r="A184" s="559" t="s">
        <v>993</v>
      </c>
      <c r="B184" s="545"/>
      <c r="C184" s="336" t="s">
        <v>410</v>
      </c>
      <c r="D184" s="641" t="s">
        <v>734</v>
      </c>
      <c r="E184" s="485"/>
      <c r="F184" s="641" t="s">
        <v>928</v>
      </c>
      <c r="H184" s="545">
        <v>44345</v>
      </c>
      <c r="I184" s="336" t="s">
        <v>942</v>
      </c>
      <c r="J184" s="627" t="s">
        <v>943</v>
      </c>
      <c r="K184" s="485"/>
      <c r="L184" s="539" t="s">
        <v>928</v>
      </c>
    </row>
    <row r="185" spans="1:12" s="627" customFormat="1" ht="15" customHeight="1">
      <c r="A185" s="641" t="s">
        <v>945</v>
      </c>
      <c r="B185" s="545"/>
      <c r="C185" s="336" t="s">
        <v>410</v>
      </c>
      <c r="D185" s="641" t="s">
        <v>734</v>
      </c>
      <c r="E185" s="485"/>
      <c r="F185" s="641" t="s">
        <v>928</v>
      </c>
      <c r="H185" s="545">
        <v>44325</v>
      </c>
      <c r="I185" s="336" t="s">
        <v>942</v>
      </c>
      <c r="J185" s="627" t="s">
        <v>943</v>
      </c>
      <c r="K185" s="485"/>
      <c r="L185" s="539" t="s">
        <v>928</v>
      </c>
    </row>
    <row r="186" spans="1:12" s="627" customFormat="1" ht="15" customHeight="1">
      <c r="A186" s="641" t="s">
        <v>945</v>
      </c>
      <c r="B186" s="545"/>
      <c r="C186" s="336" t="s">
        <v>410</v>
      </c>
      <c r="D186" s="641" t="s">
        <v>734</v>
      </c>
      <c r="E186" s="485"/>
      <c r="F186" s="641" t="s">
        <v>928</v>
      </c>
      <c r="H186" s="545">
        <v>44316</v>
      </c>
      <c r="I186" s="336" t="s">
        <v>942</v>
      </c>
      <c r="J186" s="627" t="s">
        <v>943</v>
      </c>
      <c r="K186" s="485"/>
      <c r="L186" s="539" t="s">
        <v>928</v>
      </c>
    </row>
    <row r="187" spans="1:12" s="627" customFormat="1" ht="15" customHeight="1">
      <c r="A187" s="559" t="s">
        <v>945</v>
      </c>
      <c r="B187" s="545"/>
      <c r="C187" s="336" t="s">
        <v>410</v>
      </c>
      <c r="D187" s="641" t="s">
        <v>734</v>
      </c>
      <c r="E187" s="485"/>
      <c r="F187" s="641" t="s">
        <v>928</v>
      </c>
      <c r="H187" s="545">
        <v>44371</v>
      </c>
      <c r="I187" s="336" t="s">
        <v>942</v>
      </c>
      <c r="J187" s="627" t="s">
        <v>943</v>
      </c>
      <c r="K187" s="485"/>
      <c r="L187" s="539" t="s">
        <v>928</v>
      </c>
    </row>
    <row r="188" spans="1:12" s="641" customFormat="1" ht="15" customHeight="1">
      <c r="A188" s="559" t="s">
        <v>930</v>
      </c>
      <c r="B188" s="545"/>
      <c r="C188" s="336" t="s">
        <v>410</v>
      </c>
      <c r="D188" s="641" t="s">
        <v>734</v>
      </c>
      <c r="E188" s="485"/>
      <c r="F188" s="641" t="s">
        <v>928</v>
      </c>
      <c r="H188" s="545"/>
      <c r="I188" s="336"/>
      <c r="K188" s="485"/>
      <c r="L188" s="539"/>
    </row>
    <row r="189" spans="1:12" s="641" customFormat="1" ht="15" customHeight="1">
      <c r="A189" s="559" t="s">
        <v>930</v>
      </c>
      <c r="B189" s="545"/>
      <c r="C189" s="336" t="s">
        <v>410</v>
      </c>
      <c r="D189" s="641" t="s">
        <v>734</v>
      </c>
      <c r="E189" s="485"/>
      <c r="F189" s="641" t="s">
        <v>928</v>
      </c>
      <c r="H189" s="545"/>
      <c r="I189" s="336"/>
      <c r="K189" s="485"/>
      <c r="L189" s="539"/>
    </row>
    <row r="190" spans="1:12" s="627" customFormat="1" ht="15" customHeight="1">
      <c r="A190" s="559" t="s">
        <v>932</v>
      </c>
      <c r="B190" s="545"/>
      <c r="C190" s="336" t="s">
        <v>410</v>
      </c>
      <c r="D190" s="641" t="s">
        <v>734</v>
      </c>
      <c r="E190" s="485"/>
      <c r="F190" s="641" t="s">
        <v>928</v>
      </c>
      <c r="H190" s="545">
        <v>44242</v>
      </c>
      <c r="I190" s="336" t="s">
        <v>942</v>
      </c>
      <c r="J190" s="627" t="s">
        <v>943</v>
      </c>
      <c r="K190" s="485"/>
      <c r="L190" s="539" t="s">
        <v>928</v>
      </c>
    </row>
    <row r="191" spans="1:12" ht="15" customHeight="1">
      <c r="A191" s="359" t="s">
        <v>932</v>
      </c>
      <c r="B191" s="552"/>
      <c r="C191" s="360" t="s">
        <v>410</v>
      </c>
      <c r="D191" s="359" t="str">
        <f>_xlfn.IFERROR(VLOOKUP(C191,'Base de Monedas'!A:B,2,0),"")</f>
        <v>Guaraní</v>
      </c>
      <c r="E191" s="546"/>
      <c r="F191" s="546" t="s">
        <v>928</v>
      </c>
      <c r="G191" s="359"/>
      <c r="H191" s="552">
        <v>44225</v>
      </c>
      <c r="I191" s="360" t="s">
        <v>942</v>
      </c>
      <c r="J191" s="359" t="s">
        <v>943</v>
      </c>
      <c r="K191" s="546"/>
      <c r="L191" s="546" t="s">
        <v>928</v>
      </c>
    </row>
    <row r="192" spans="2:11" s="554" customFormat="1" ht="15" customHeight="1">
      <c r="B192" s="545"/>
      <c r="C192" s="336"/>
      <c r="E192" s="563">
        <f>SUM(E183:E191)</f>
        <v>0</v>
      </c>
      <c r="F192" s="485"/>
      <c r="H192" s="545"/>
      <c r="K192" s="485">
        <f>SUM(K184:K191)</f>
        <v>0</v>
      </c>
    </row>
    <row r="193" spans="2:11" s="543" customFormat="1" ht="15" customHeight="1">
      <c r="B193" s="545"/>
      <c r="C193" s="336"/>
      <c r="E193" s="485"/>
      <c r="H193" s="545"/>
      <c r="K193" s="485"/>
    </row>
    <row r="194" spans="1:11" s="543" customFormat="1" ht="15" customHeight="1">
      <c r="A194" s="127" t="s">
        <v>948</v>
      </c>
      <c r="B194" s="545"/>
      <c r="C194" s="336"/>
      <c r="E194" s="485"/>
      <c r="H194" s="545"/>
      <c r="K194" s="485"/>
    </row>
    <row r="195" spans="1:12" s="543" customFormat="1" ht="15" customHeight="1">
      <c r="A195" s="561" t="s">
        <v>949</v>
      </c>
      <c r="B195" s="552">
        <v>44563</v>
      </c>
      <c r="C195" s="360" t="s">
        <v>410</v>
      </c>
      <c r="D195" s="359" t="str">
        <f>_xlfn.IFERROR(VLOOKUP(C195,'Base de Monedas'!A:B,2,0),"")</f>
        <v>Guaraní</v>
      </c>
      <c r="E195" s="546">
        <v>-78000</v>
      </c>
      <c r="F195" s="546" t="s">
        <v>928</v>
      </c>
      <c r="H195" s="552">
        <v>44563</v>
      </c>
      <c r="I195" s="336" t="s">
        <v>942</v>
      </c>
      <c r="J195" s="627" t="s">
        <v>943</v>
      </c>
      <c r="K195" s="546">
        <v>-6500</v>
      </c>
      <c r="L195" s="546" t="s">
        <v>928</v>
      </c>
    </row>
    <row r="196" spans="1:11" s="554" customFormat="1" ht="15" customHeight="1">
      <c r="A196" s="555"/>
      <c r="B196" s="545"/>
      <c r="C196" s="336"/>
      <c r="E196" s="563">
        <f>+E195</f>
        <v>-78000</v>
      </c>
      <c r="F196" s="485"/>
      <c r="H196" s="545"/>
      <c r="K196" s="563">
        <f>+K195</f>
        <v>-6500</v>
      </c>
    </row>
    <row r="197" spans="2:11" s="543" customFormat="1" ht="15" customHeight="1">
      <c r="B197" s="545"/>
      <c r="C197" s="336"/>
      <c r="E197" s="485"/>
      <c r="H197" s="545"/>
      <c r="K197" s="485"/>
    </row>
    <row r="198" spans="1:11" s="543" customFormat="1" ht="15" customHeight="1">
      <c r="A198" s="558" t="s">
        <v>950</v>
      </c>
      <c r="B198" s="545"/>
      <c r="C198" s="336"/>
      <c r="E198" s="485"/>
      <c r="H198" s="545"/>
      <c r="K198" s="485"/>
    </row>
    <row r="199" spans="1:11" s="627" customFormat="1" ht="15" customHeight="1">
      <c r="A199" s="569"/>
      <c r="B199" s="545"/>
      <c r="C199" s="336"/>
      <c r="E199" s="485"/>
      <c r="H199" s="545"/>
      <c r="K199" s="485"/>
    </row>
    <row r="200" spans="1:13" s="543" customFormat="1" ht="15" customHeight="1">
      <c r="A200" s="127" t="s">
        <v>937</v>
      </c>
      <c r="E200" s="485"/>
      <c r="H200" s="127"/>
      <c r="I200" s="554"/>
      <c r="J200" s="554"/>
      <c r="K200" s="554"/>
      <c r="L200" s="485"/>
      <c r="M200" s="554"/>
    </row>
    <row r="201" spans="1:13" s="543" customFormat="1" ht="15" customHeight="1">
      <c r="A201" s="544" t="s">
        <v>939</v>
      </c>
      <c r="B201" s="545">
        <v>44916</v>
      </c>
      <c r="C201" s="336" t="s">
        <v>410</v>
      </c>
      <c r="D201" s="543" t="str">
        <f>_xlfn.IFERROR(VLOOKUP(C201,'Base de Monedas'!A:B,2,0),"")</f>
        <v>Guaraní</v>
      </c>
      <c r="E201" s="485">
        <v>0</v>
      </c>
      <c r="F201" s="485" t="s">
        <v>928</v>
      </c>
      <c r="H201" s="629">
        <v>44916</v>
      </c>
      <c r="I201" s="545"/>
      <c r="J201" s="336"/>
      <c r="K201" s="485">
        <v>-633090</v>
      </c>
      <c r="L201" s="485"/>
      <c r="M201" s="485"/>
    </row>
    <row r="202" spans="1:13" s="543" customFormat="1" ht="15" customHeight="1">
      <c r="A202" s="651" t="s">
        <v>1009</v>
      </c>
      <c r="B202" s="545">
        <v>45281</v>
      </c>
      <c r="C202" s="336" t="s">
        <v>410</v>
      </c>
      <c r="D202" s="543" t="str">
        <f>_xlfn.IFERROR(VLOOKUP(C202,'Base de Monedas'!A:B,2,0),"")</f>
        <v>Guaraní</v>
      </c>
      <c r="E202" s="485">
        <f>-(50554*4)</f>
        <v>-202216</v>
      </c>
      <c r="F202" s="485" t="s">
        <v>928</v>
      </c>
      <c r="H202" s="629">
        <v>45281</v>
      </c>
      <c r="I202" s="545"/>
      <c r="J202" s="336"/>
      <c r="K202" s="485">
        <v>-439490</v>
      </c>
      <c r="L202" s="485"/>
      <c r="M202" s="485"/>
    </row>
    <row r="203" spans="1:13" s="543" customFormat="1" ht="15" customHeight="1">
      <c r="A203" s="651" t="s">
        <v>1009</v>
      </c>
      <c r="B203" s="545">
        <v>45645</v>
      </c>
      <c r="C203" s="336" t="s">
        <v>410</v>
      </c>
      <c r="D203" s="543" t="str">
        <f>_xlfn.IFERROR(VLOOKUP(C203,'Base de Monedas'!A:B,2,0),"")</f>
        <v>Guaraní</v>
      </c>
      <c r="E203" s="485">
        <f>-(59318*8)</f>
        <v>-474544</v>
      </c>
      <c r="F203" s="485" t="s">
        <v>928</v>
      </c>
      <c r="H203" s="629">
        <v>45647</v>
      </c>
      <c r="I203" s="545"/>
      <c r="J203" s="336"/>
      <c r="K203" s="485">
        <v>-237275</v>
      </c>
      <c r="L203" s="485"/>
      <c r="M203" s="485"/>
    </row>
    <row r="204" spans="1:13" s="543" customFormat="1" ht="15" customHeight="1">
      <c r="A204" s="561"/>
      <c r="B204" s="552"/>
      <c r="C204" s="360"/>
      <c r="D204" s="359"/>
      <c r="E204" s="546"/>
      <c r="F204" s="546"/>
      <c r="G204" s="359"/>
      <c r="H204" s="561"/>
      <c r="I204" s="552"/>
      <c r="J204" s="360"/>
      <c r="K204" s="546"/>
      <c r="L204" s="546"/>
      <c r="M204" s="546"/>
    </row>
    <row r="205" spans="2:13" s="543" customFormat="1" ht="15" customHeight="1">
      <c r="B205" s="545"/>
      <c r="C205" s="336"/>
      <c r="E205" s="563">
        <f>SUM(E201:E204)-4</f>
        <v>-676764</v>
      </c>
      <c r="H205" s="554"/>
      <c r="I205" s="545"/>
      <c r="J205" s="336"/>
      <c r="K205" s="563">
        <f>SUM(K201:K203)+2</f>
        <v>-1309853</v>
      </c>
      <c r="L205" s="563"/>
      <c r="M205" s="554"/>
    </row>
    <row r="206" spans="1:12" s="543" customFormat="1" ht="15" customHeight="1">
      <c r="A206" s="601" t="s">
        <v>972</v>
      </c>
      <c r="B206" s="545"/>
      <c r="C206" s="336"/>
      <c r="E206" s="563">
        <f>+E131+E135+E148+E166+E170+E179+E192+E196+E205-1</f>
        <v>4388979</v>
      </c>
      <c r="H206" s="545"/>
      <c r="K206" s="563">
        <f>+K131+K135+K148+K166+K170+K179+K192+K196+K205</f>
        <v>6222726</v>
      </c>
      <c r="L206" s="563"/>
    </row>
    <row r="207" spans="2:11" s="543" customFormat="1" ht="15" customHeight="1">
      <c r="B207" s="545"/>
      <c r="C207" s="336"/>
      <c r="E207" s="485"/>
      <c r="H207" s="545"/>
      <c r="K207" s="485"/>
    </row>
    <row r="208" spans="2:11" s="543" customFormat="1" ht="15" customHeight="1">
      <c r="B208" s="545"/>
      <c r="C208" s="336"/>
      <c r="E208" s="485"/>
      <c r="H208" s="545"/>
      <c r="K208" s="485"/>
    </row>
    <row r="209" spans="2:11" s="543" customFormat="1" ht="15" customHeight="1">
      <c r="B209" s="545"/>
      <c r="C209" s="336"/>
      <c r="E209" s="485"/>
      <c r="H209" s="545"/>
      <c r="K209" s="485"/>
    </row>
    <row r="210" spans="2:11" s="543" customFormat="1" ht="15" customHeight="1">
      <c r="B210" s="545"/>
      <c r="C210" s="336"/>
      <c r="E210" s="485"/>
      <c r="H210" s="545"/>
      <c r="K210" s="485"/>
    </row>
    <row r="211" spans="2:11" s="543" customFormat="1" ht="15" customHeight="1">
      <c r="B211" s="545"/>
      <c r="C211" s="336"/>
      <c r="E211" s="485"/>
      <c r="H211" s="545"/>
      <c r="K211" s="485"/>
    </row>
    <row r="212" spans="2:11" s="543" customFormat="1" ht="15" customHeight="1">
      <c r="B212" s="545"/>
      <c r="C212" s="336"/>
      <c r="E212" s="485"/>
      <c r="H212" s="545"/>
      <c r="K212" s="485"/>
    </row>
    <row r="213" spans="2:11" s="543" customFormat="1" ht="15" customHeight="1">
      <c r="B213" s="545"/>
      <c r="C213" s="336"/>
      <c r="E213" s="485"/>
      <c r="H213" s="545"/>
      <c r="K213" s="485"/>
    </row>
    <row r="214" spans="2:11" s="543" customFormat="1" ht="15" customHeight="1">
      <c r="B214" s="545"/>
      <c r="C214" s="336"/>
      <c r="E214" s="485"/>
      <c r="H214" s="545"/>
      <c r="K214" s="485"/>
    </row>
    <row r="215" spans="2:11" s="543" customFormat="1" ht="15" customHeight="1">
      <c r="B215" s="545"/>
      <c r="C215" s="336"/>
      <c r="E215" s="485"/>
      <c r="H215" s="545"/>
      <c r="K215" s="485"/>
    </row>
    <row r="216" spans="2:11" s="543" customFormat="1" ht="15" customHeight="1">
      <c r="B216" s="545"/>
      <c r="C216" s="336"/>
      <c r="E216" s="485"/>
      <c r="H216" s="545"/>
      <c r="K216" s="485"/>
    </row>
    <row r="217" spans="2:11" s="543" customFormat="1" ht="15" customHeight="1">
      <c r="B217" s="545"/>
      <c r="C217" s="336"/>
      <c r="E217" s="485"/>
      <c r="H217" s="545"/>
      <c r="K217" s="485"/>
    </row>
    <row r="218" spans="2:11" s="543" customFormat="1" ht="15" customHeight="1">
      <c r="B218" s="545"/>
      <c r="C218" s="336"/>
      <c r="E218" s="485"/>
      <c r="H218" s="545"/>
      <c r="K218" s="485"/>
    </row>
    <row r="219" spans="2:11" s="543" customFormat="1" ht="15" customHeight="1">
      <c r="B219" s="545"/>
      <c r="C219" s="336"/>
      <c r="E219" s="485"/>
      <c r="H219" s="545"/>
      <c r="K219" s="485"/>
    </row>
    <row r="220" spans="2:11" s="543" customFormat="1" ht="15" customHeight="1">
      <c r="B220" s="545"/>
      <c r="C220" s="336"/>
      <c r="E220" s="485"/>
      <c r="H220" s="545"/>
      <c r="K220" s="485"/>
    </row>
    <row r="221" spans="1:11" ht="15" customHeight="1">
      <c r="A221" s="161"/>
      <c r="E221" s="485"/>
      <c r="H221" s="545"/>
      <c r="K221" s="485"/>
    </row>
    <row r="222" spans="1:11" ht="15" customHeight="1">
      <c r="A222" s="161"/>
      <c r="E222" s="485"/>
      <c r="H222" s="545"/>
      <c r="K222" s="485"/>
    </row>
    <row r="223" spans="1:11" ht="15" customHeight="1">
      <c r="A223" s="569"/>
      <c r="E223" s="485"/>
      <c r="H223" s="545"/>
      <c r="K223" s="485"/>
    </row>
    <row r="224" spans="5:11" ht="15" customHeight="1">
      <c r="E224" s="485"/>
      <c r="H224" s="545"/>
      <c r="K224" s="485"/>
    </row>
    <row r="225" spans="5:11" ht="15" customHeight="1">
      <c r="E225" s="485"/>
      <c r="H225" s="545"/>
      <c r="K225" s="485"/>
    </row>
    <row r="226" spans="5:11" ht="15" customHeight="1">
      <c r="E226" s="485"/>
      <c r="H226" s="545"/>
      <c r="K226" s="485"/>
    </row>
    <row r="227" spans="8:11" ht="15" customHeight="1">
      <c r="H227" s="545"/>
      <c r="K227" s="485"/>
    </row>
    <row r="228" spans="8:11" ht="15" customHeight="1">
      <c r="H228" s="545"/>
      <c r="K228" s="485"/>
    </row>
    <row r="229" spans="8:11" ht="15" customHeight="1">
      <c r="H229" s="545"/>
      <c r="K229" s="485"/>
    </row>
    <row r="230" spans="8:11" ht="15" customHeight="1">
      <c r="H230" s="545"/>
      <c r="K230" s="485"/>
    </row>
    <row r="231" spans="8:11" ht="15" customHeight="1">
      <c r="H231" s="545"/>
      <c r="K231" s="485"/>
    </row>
    <row r="232" spans="8:11" ht="15" customHeight="1">
      <c r="H232" s="545"/>
      <c r="K232" s="485"/>
    </row>
    <row r="233" spans="8:11" ht="15" customHeight="1">
      <c r="H233" s="545"/>
      <c r="K233" s="485"/>
    </row>
    <row r="234" spans="8:11" ht="15" customHeight="1">
      <c r="H234" s="545"/>
      <c r="K234" s="485"/>
    </row>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8" customHeight="1"/>
    <row r="651" ht="18" customHeight="1"/>
    <row r="652" ht="18" customHeight="1"/>
    <row r="653" ht="18" customHeight="1"/>
    <row r="654" ht="18" customHeight="1"/>
    <row r="655" ht="18" customHeight="1"/>
    <row r="656" ht="18" customHeight="1"/>
    <row r="657" ht="18" customHeight="1"/>
    <row r="658" ht="18" customHeight="1"/>
    <row r="659" ht="18" customHeight="1"/>
    <row r="660" ht="18" customHeight="1"/>
    <row r="661" ht="18" customHeight="1"/>
    <row r="662" ht="18" customHeight="1"/>
    <row r="663" ht="18" customHeight="1"/>
    <row r="664" ht="18" customHeight="1"/>
    <row r="665" ht="18" customHeight="1"/>
    <row r="666" ht="18" customHeight="1"/>
    <row r="667" ht="18" customHeight="1"/>
    <row r="668" ht="18" customHeight="1"/>
    <row r="669" ht="18" customHeight="1"/>
    <row r="670" ht="18" customHeight="1"/>
    <row r="671" ht="18" customHeight="1"/>
    <row r="672" ht="18" customHeight="1"/>
    <row r="673" ht="18" customHeight="1"/>
    <row r="674" ht="18" customHeight="1"/>
    <row r="675" ht="18" customHeight="1"/>
    <row r="676" ht="18" customHeight="1"/>
    <row r="677" ht="18" customHeight="1"/>
    <row r="678" ht="18" customHeight="1"/>
    <row r="679" ht="18" customHeight="1"/>
    <row r="680" ht="18" customHeight="1"/>
    <row r="681" ht="18" customHeight="1"/>
    <row r="682" ht="18" customHeight="1"/>
    <row r="683" ht="18" customHeight="1"/>
    <row r="684" ht="18" customHeight="1"/>
    <row r="685" ht="18" customHeight="1"/>
    <row r="686" ht="18" customHeight="1"/>
    <row r="687" ht="18" customHeight="1"/>
    <row r="688" ht="18" customHeight="1"/>
    <row r="689" ht="18" customHeight="1"/>
    <row r="690" ht="18" customHeight="1"/>
    <row r="691" ht="18" customHeight="1"/>
    <row r="692" ht="18" customHeight="1"/>
    <row r="693" ht="18" customHeight="1"/>
    <row r="694" ht="18" customHeight="1"/>
    <row r="695" ht="18" customHeight="1"/>
    <row r="696" ht="18" customHeight="1"/>
    <row r="697" ht="18" customHeight="1"/>
    <row r="698" ht="18" customHeight="1"/>
    <row r="699" ht="18" customHeight="1"/>
    <row r="700" ht="18" customHeight="1"/>
    <row r="701" ht="18" customHeight="1"/>
    <row r="702" ht="18" customHeight="1"/>
    <row r="703" ht="18" customHeight="1"/>
    <row r="704" ht="18" customHeight="1"/>
    <row r="705" ht="18" customHeight="1"/>
    <row r="706" ht="18" customHeight="1"/>
    <row r="707" ht="18" customHeight="1"/>
    <row r="708" ht="18" customHeight="1"/>
    <row r="709" ht="18" customHeight="1"/>
    <row r="710" ht="18" customHeight="1"/>
    <row r="711" ht="18" customHeight="1"/>
    <row r="712" ht="18" customHeight="1"/>
    <row r="713" ht="18" customHeight="1"/>
    <row r="714" ht="18" customHeight="1"/>
    <row r="715" ht="18" customHeight="1"/>
    <row r="716" ht="18" customHeight="1"/>
    <row r="717" ht="18" customHeight="1"/>
    <row r="718" ht="18" customHeight="1"/>
    <row r="719" ht="18" customHeight="1"/>
    <row r="720" ht="18" customHeight="1"/>
    <row r="721" ht="18" customHeight="1"/>
    <row r="722" ht="18" customHeight="1"/>
    <row r="723" ht="18" customHeight="1"/>
    <row r="724" ht="18" customHeight="1"/>
    <row r="725" ht="18" customHeight="1"/>
    <row r="726" ht="18" customHeight="1"/>
    <row r="727" ht="18" customHeight="1"/>
    <row r="728" ht="18" customHeight="1"/>
    <row r="729" ht="18" customHeight="1"/>
    <row r="730" ht="18" customHeight="1"/>
    <row r="731" ht="18" customHeight="1"/>
    <row r="732" ht="18" customHeight="1"/>
    <row r="733" ht="18" customHeight="1"/>
    <row r="734" ht="18" customHeight="1"/>
    <row r="735" ht="18" customHeight="1"/>
    <row r="736" ht="18" customHeight="1"/>
    <row r="737" ht="18" customHeight="1"/>
    <row r="738" ht="18" customHeight="1"/>
    <row r="739" ht="18" customHeight="1"/>
    <row r="740" ht="18" customHeight="1"/>
    <row r="741" ht="18" customHeight="1"/>
    <row r="742" ht="18" customHeight="1"/>
    <row r="743" ht="18" customHeight="1"/>
    <row r="744" ht="18" customHeight="1"/>
    <row r="745" ht="18" customHeight="1"/>
    <row r="746" ht="18" customHeight="1"/>
    <row r="747" ht="18" customHeight="1"/>
    <row r="748" ht="18" customHeight="1"/>
    <row r="749" ht="18" customHeight="1"/>
    <row r="750" ht="18" customHeight="1"/>
    <row r="751" ht="18" customHeight="1"/>
    <row r="752" ht="18" customHeight="1"/>
    <row r="753" ht="18" customHeight="1"/>
    <row r="754" ht="18" customHeight="1"/>
    <row r="755" ht="18" customHeight="1"/>
    <row r="756" ht="18" customHeight="1"/>
    <row r="757" ht="18" customHeight="1"/>
    <row r="758" ht="18" customHeight="1"/>
    <row r="759" ht="18" customHeight="1"/>
    <row r="760" ht="18" customHeight="1"/>
    <row r="761" ht="18" customHeight="1"/>
    <row r="762" ht="18" customHeight="1"/>
    <row r="763" ht="18" customHeight="1"/>
    <row r="764" ht="18" customHeight="1"/>
    <row r="765" ht="18" customHeight="1"/>
    <row r="766" ht="18" customHeight="1"/>
    <row r="767" ht="18" customHeight="1"/>
    <row r="768" ht="18" customHeight="1"/>
    <row r="769" ht="18" customHeight="1"/>
    <row r="770" ht="18" customHeight="1"/>
    <row r="771" ht="18" customHeight="1"/>
    <row r="772" ht="18" customHeight="1"/>
    <row r="773" ht="18" customHeight="1"/>
    <row r="774" ht="18" customHeight="1"/>
    <row r="775" ht="18" customHeight="1"/>
    <row r="776" ht="18" customHeight="1"/>
    <row r="777" ht="18" customHeight="1"/>
  </sheetData>
  <sheetProtection/>
  <hyperlinks>
    <hyperlink ref="L1" location="BG!A1" display="BG"/>
    <hyperlink ref="E1" location="BG!A1" display="BG"/>
  </hyperlinks>
  <printOptions horizontalCentered="1"/>
  <pageMargins left="0.7086614173228347" right="0.7086614173228347" top="0.7480314960629921" bottom="0.7480314960629921" header="0.31496062992125984" footer="0.31496062992125984"/>
  <pageSetup horizontalDpi="600" verticalDpi="600" orientation="portrait" paperSize="5" scale="80" r:id="rId1"/>
</worksheet>
</file>

<file path=xl/worksheets/sheet21.xml><?xml version="1.0" encoding="utf-8"?>
<worksheet xmlns="http://schemas.openxmlformats.org/spreadsheetml/2006/main" xmlns:r="http://schemas.openxmlformats.org/officeDocument/2006/relationships">
  <sheetPr codeName="Hoja20"/>
  <dimension ref="A1:AH19"/>
  <sheetViews>
    <sheetView zoomScalePageLayoutView="0" workbookViewId="0" topLeftCell="A1">
      <selection activeCell="B9" sqref="B9"/>
    </sheetView>
  </sheetViews>
  <sheetFormatPr defaultColWidth="11.421875" defaultRowHeight="15"/>
  <cols>
    <col min="1" max="1" width="44.7109375" style="154" customWidth="1"/>
    <col min="2" max="2" width="18.28125" style="154" customWidth="1"/>
    <col min="3" max="3" width="20.140625" style="154" customWidth="1"/>
    <col min="4" max="34" width="11.421875" style="154" customWidth="1"/>
  </cols>
  <sheetData>
    <row r="1" spans="1:4" ht="15">
      <c r="A1" s="154" t="str">
        <f>Indice!C1</f>
        <v>IMPORT CENTER S.A.</v>
      </c>
      <c r="D1" s="177" t="s">
        <v>129</v>
      </c>
    </row>
    <row r="5" spans="1:34" ht="15">
      <c r="A5" s="337" t="s">
        <v>311</v>
      </c>
      <c r="B5" s="337"/>
      <c r="C5" s="337"/>
      <c r="D5" s="337"/>
      <c r="T5"/>
      <c r="U5"/>
      <c r="V5"/>
      <c r="W5"/>
      <c r="X5"/>
      <c r="Y5"/>
      <c r="Z5"/>
      <c r="AA5"/>
      <c r="AB5"/>
      <c r="AC5"/>
      <c r="AD5"/>
      <c r="AE5"/>
      <c r="AF5"/>
      <c r="AG5"/>
      <c r="AH5"/>
    </row>
    <row r="7" spans="2:3" ht="15">
      <c r="B7" s="739" t="s">
        <v>293</v>
      </c>
      <c r="C7" s="739"/>
    </row>
    <row r="8" spans="1:34" ht="15">
      <c r="A8" s="325" t="s">
        <v>130</v>
      </c>
      <c r="B8" s="324">
        <f>_xlfn.IFERROR(IF(Indice!B6="","2XX2",YEAR(Indice!B6)),"2XX2")</f>
        <v>2021</v>
      </c>
      <c r="C8" s="324">
        <f>_xlfn.IFERROR(YEAR(Indice!B6-365),"2XX1")</f>
        <v>2020</v>
      </c>
      <c r="D8" s="170"/>
      <c r="T8"/>
      <c r="U8"/>
      <c r="V8"/>
      <c r="W8"/>
      <c r="X8"/>
      <c r="Y8"/>
      <c r="Z8"/>
      <c r="AA8"/>
      <c r="AB8"/>
      <c r="AC8"/>
      <c r="AD8"/>
      <c r="AE8"/>
      <c r="AF8"/>
      <c r="AG8"/>
      <c r="AH8"/>
    </row>
    <row r="9" spans="1:34" ht="15">
      <c r="A9" s="171" t="s">
        <v>110</v>
      </c>
      <c r="B9" s="171"/>
      <c r="C9" s="171"/>
      <c r="D9" s="171"/>
      <c r="T9"/>
      <c r="U9"/>
      <c r="V9"/>
      <c r="W9"/>
      <c r="X9"/>
      <c r="Y9"/>
      <c r="Z9"/>
      <c r="AA9"/>
      <c r="AB9"/>
      <c r="AC9"/>
      <c r="AD9"/>
      <c r="AE9"/>
      <c r="AF9"/>
      <c r="AG9"/>
      <c r="AH9"/>
    </row>
    <row r="10" spans="1:34" ht="15">
      <c r="A10" s="172" t="s">
        <v>131</v>
      </c>
      <c r="D10" s="172"/>
      <c r="T10"/>
      <c r="U10"/>
      <c r="V10"/>
      <c r="W10"/>
      <c r="X10"/>
      <c r="Y10"/>
      <c r="Z10"/>
      <c r="AA10"/>
      <c r="AB10"/>
      <c r="AC10"/>
      <c r="AD10"/>
      <c r="AE10"/>
      <c r="AF10"/>
      <c r="AG10"/>
      <c r="AH10"/>
    </row>
    <row r="11" spans="1:34" ht="15">
      <c r="A11" s="172" t="s">
        <v>115</v>
      </c>
      <c r="D11" s="172"/>
      <c r="T11"/>
      <c r="U11"/>
      <c r="V11"/>
      <c r="W11"/>
      <c r="X11"/>
      <c r="Y11"/>
      <c r="Z11"/>
      <c r="AA11"/>
      <c r="AB11"/>
      <c r="AC11"/>
      <c r="AD11"/>
      <c r="AE11"/>
      <c r="AF11"/>
      <c r="AG11"/>
      <c r="AH11"/>
    </row>
    <row r="12" spans="1:34" ht="15">
      <c r="A12" s="172" t="s">
        <v>132</v>
      </c>
      <c r="D12" s="172"/>
      <c r="T12"/>
      <c r="U12"/>
      <c r="V12"/>
      <c r="W12"/>
      <c r="X12"/>
      <c r="Y12"/>
      <c r="Z12"/>
      <c r="AA12"/>
      <c r="AB12"/>
      <c r="AC12"/>
      <c r="AD12"/>
      <c r="AE12"/>
      <c r="AF12"/>
      <c r="AG12"/>
      <c r="AH12"/>
    </row>
    <row r="13" spans="1:34" ht="15">
      <c r="A13" s="172" t="s">
        <v>133</v>
      </c>
      <c r="D13" s="172"/>
      <c r="T13"/>
      <c r="U13"/>
      <c r="V13"/>
      <c r="W13"/>
      <c r="X13"/>
      <c r="Y13"/>
      <c r="Z13"/>
      <c r="AA13"/>
      <c r="AB13"/>
      <c r="AC13"/>
      <c r="AD13"/>
      <c r="AE13"/>
      <c r="AF13"/>
      <c r="AG13"/>
      <c r="AH13"/>
    </row>
    <row r="14" spans="1:34" ht="15">
      <c r="A14" s="358" t="s">
        <v>66</v>
      </c>
      <c r="B14" s="171"/>
      <c r="C14" s="171"/>
      <c r="D14" s="171"/>
      <c r="T14"/>
      <c r="U14"/>
      <c r="V14"/>
      <c r="W14"/>
      <c r="X14"/>
      <c r="Y14"/>
      <c r="Z14"/>
      <c r="AA14"/>
      <c r="AB14"/>
      <c r="AC14"/>
      <c r="AD14"/>
      <c r="AE14"/>
      <c r="AF14"/>
      <c r="AG14"/>
      <c r="AH14"/>
    </row>
    <row r="15" spans="1:34" ht="15">
      <c r="A15" s="159" t="s">
        <v>127</v>
      </c>
      <c r="B15" s="281">
        <f>SUM($B$9:B14)</f>
        <v>0</v>
      </c>
      <c r="C15" s="281">
        <f>SUM($C$9:C14)</f>
        <v>0</v>
      </c>
      <c r="T15"/>
      <c r="U15"/>
      <c r="V15"/>
      <c r="W15"/>
      <c r="X15"/>
      <c r="Y15"/>
      <c r="Z15"/>
      <c r="AA15"/>
      <c r="AB15"/>
      <c r="AC15"/>
      <c r="AD15"/>
      <c r="AE15"/>
      <c r="AF15"/>
      <c r="AG15"/>
      <c r="AH15"/>
    </row>
    <row r="16" spans="1:34" ht="15">
      <c r="A16" s="173"/>
      <c r="D16" s="172"/>
      <c r="T16"/>
      <c r="U16"/>
      <c r="V16"/>
      <c r="W16"/>
      <c r="X16"/>
      <c r="Y16"/>
      <c r="Z16"/>
      <c r="AA16"/>
      <c r="AB16"/>
      <c r="AC16"/>
      <c r="AD16"/>
      <c r="AE16"/>
      <c r="AF16"/>
      <c r="AG16"/>
      <c r="AH16"/>
    </row>
    <row r="17" spans="1:34" ht="15">
      <c r="A17" s="172"/>
      <c r="D17" s="172"/>
      <c r="T17"/>
      <c r="U17"/>
      <c r="V17"/>
      <c r="W17"/>
      <c r="X17"/>
      <c r="Y17"/>
      <c r="Z17"/>
      <c r="AA17"/>
      <c r="AB17"/>
      <c r="AC17"/>
      <c r="AD17"/>
      <c r="AE17"/>
      <c r="AF17"/>
      <c r="AG17"/>
      <c r="AH17"/>
    </row>
    <row r="18" spans="1:34" ht="15">
      <c r="A18" s="173"/>
      <c r="D18" s="172"/>
      <c r="E18" s="171"/>
      <c r="F18" s="171"/>
      <c r="T18"/>
      <c r="U18"/>
      <c r="V18"/>
      <c r="W18"/>
      <c r="X18"/>
      <c r="Y18"/>
      <c r="Z18"/>
      <c r="AA18"/>
      <c r="AB18"/>
      <c r="AC18"/>
      <c r="AD18"/>
      <c r="AE18"/>
      <c r="AF18"/>
      <c r="AG18"/>
      <c r="AH18"/>
    </row>
    <row r="19" spans="20:34" ht="15">
      <c r="T19"/>
      <c r="U19"/>
      <c r="V19"/>
      <c r="W19"/>
      <c r="X19"/>
      <c r="Y19"/>
      <c r="Z19"/>
      <c r="AA19"/>
      <c r="AB19"/>
      <c r="AC19"/>
      <c r="AD19"/>
      <c r="AE19"/>
      <c r="AF19"/>
      <c r="AG19"/>
      <c r="AH19"/>
    </row>
  </sheetData>
  <sheetProtection/>
  <mergeCells count="1">
    <mergeCell ref="B7:C7"/>
  </mergeCells>
  <hyperlinks>
    <hyperlink ref="D1" location="BG!A1" display="BG"/>
  </hyperlink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sheetPr codeName="Hoja21"/>
  <dimension ref="A1:AG13"/>
  <sheetViews>
    <sheetView zoomScalePageLayoutView="0" workbookViewId="0" topLeftCell="A1">
      <selection activeCell="B12" sqref="B12"/>
    </sheetView>
  </sheetViews>
  <sheetFormatPr defaultColWidth="11.421875" defaultRowHeight="15"/>
  <cols>
    <col min="1" max="1" width="48.421875" style="154" customWidth="1"/>
    <col min="2" max="3" width="22.7109375" style="154" customWidth="1"/>
    <col min="4" max="33" width="11.421875" style="154" customWidth="1"/>
  </cols>
  <sheetData>
    <row r="1" spans="1:6" ht="15">
      <c r="A1" s="154" t="str">
        <f>Indice!C1</f>
        <v>IMPORT CENTER S.A.</v>
      </c>
      <c r="F1" s="177" t="s">
        <v>129</v>
      </c>
    </row>
    <row r="4" spans="1:33" ht="15">
      <c r="A4" s="337" t="s">
        <v>312</v>
      </c>
      <c r="B4" s="337"/>
      <c r="C4" s="337"/>
      <c r="D4" s="337"/>
      <c r="T4"/>
      <c r="U4"/>
      <c r="V4"/>
      <c r="W4"/>
      <c r="X4"/>
      <c r="Y4"/>
      <c r="Z4"/>
      <c r="AA4"/>
      <c r="AB4"/>
      <c r="AC4"/>
      <c r="AD4"/>
      <c r="AE4"/>
      <c r="AF4"/>
      <c r="AG4"/>
    </row>
    <row r="6" spans="2:3" ht="15">
      <c r="B6" s="739" t="s">
        <v>293</v>
      </c>
      <c r="C6" s="739"/>
    </row>
    <row r="7" spans="1:3" ht="15">
      <c r="A7" s="325" t="s">
        <v>67</v>
      </c>
      <c r="B7" s="372">
        <f>_xlfn.IFERROR(IF(Indice!B6="","2XX2",YEAR(Indice!B6)),"2XX2")</f>
        <v>2021</v>
      </c>
      <c r="C7" s="372">
        <f>_xlfn.IFERROR(YEAR(Indice!B6-365),"2XX1")</f>
        <v>2020</v>
      </c>
    </row>
    <row r="8" spans="1:3" ht="15">
      <c r="A8" s="154" t="s">
        <v>134</v>
      </c>
      <c r="B8" s="570">
        <v>5073</v>
      </c>
      <c r="C8" s="570">
        <v>5073</v>
      </c>
    </row>
    <row r="9" spans="1:3" ht="15">
      <c r="A9" s="154" t="s">
        <v>135</v>
      </c>
      <c r="B9" s="570">
        <v>43805</v>
      </c>
      <c r="C9" s="570">
        <v>48539</v>
      </c>
    </row>
    <row r="10" spans="1:3" ht="15">
      <c r="A10" s="154" t="s">
        <v>136</v>
      </c>
      <c r="B10" s="570"/>
      <c r="C10" s="570"/>
    </row>
    <row r="11" spans="1:33" s="554" customFormat="1" ht="15">
      <c r="A11" s="154" t="s">
        <v>956</v>
      </c>
      <c r="B11" s="570">
        <v>0</v>
      </c>
      <c r="C11" s="570">
        <v>0</v>
      </c>
      <c r="D11" s="154"/>
      <c r="E11" s="154"/>
      <c r="F11" s="154"/>
      <c r="G11" s="154"/>
      <c r="H11" s="154"/>
      <c r="I11" s="154"/>
      <c r="J11" s="154"/>
      <c r="K11" s="154"/>
      <c r="L11" s="154"/>
      <c r="M11" s="154"/>
      <c r="N11" s="154"/>
      <c r="O11" s="154"/>
      <c r="P11" s="154"/>
      <c r="Q11" s="154"/>
      <c r="R11" s="154"/>
      <c r="S11" s="154"/>
      <c r="T11" s="154"/>
      <c r="U11" s="154"/>
      <c r="V11" s="154"/>
      <c r="W11" s="154"/>
      <c r="X11" s="154"/>
      <c r="Y11" s="154"/>
      <c r="Z11" s="154"/>
      <c r="AA11" s="154"/>
      <c r="AB11" s="154"/>
      <c r="AC11" s="154"/>
      <c r="AD11" s="154"/>
      <c r="AE11" s="154"/>
      <c r="AF11" s="154"/>
      <c r="AG11" s="154"/>
    </row>
    <row r="12" spans="1:3" ht="15">
      <c r="A12" s="154" t="s">
        <v>137</v>
      </c>
      <c r="B12" s="570"/>
      <c r="C12" s="570"/>
    </row>
    <row r="13" spans="1:3" ht="15">
      <c r="A13" s="154" t="s">
        <v>3</v>
      </c>
      <c r="B13" s="281">
        <f>SUM($B$8:B12)</f>
        <v>48878</v>
      </c>
      <c r="C13" s="281">
        <f>SUM($C$8:C12)</f>
        <v>53612</v>
      </c>
    </row>
  </sheetData>
  <sheetProtection/>
  <mergeCells count="1">
    <mergeCell ref="B6:C6"/>
  </mergeCells>
  <hyperlinks>
    <hyperlink ref="F1" location="BG!A1" display="BG"/>
  </hyperlink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sheetPr codeName="Hoja22"/>
  <dimension ref="A1:P15"/>
  <sheetViews>
    <sheetView zoomScalePageLayoutView="0" workbookViewId="0" topLeftCell="A1">
      <selection activeCell="B13" sqref="B13"/>
    </sheetView>
  </sheetViews>
  <sheetFormatPr defaultColWidth="11.421875" defaultRowHeight="15"/>
  <cols>
    <col min="1" max="1" width="51.57421875" style="154" customWidth="1"/>
    <col min="2" max="3" width="22.7109375" style="154" customWidth="1"/>
    <col min="4" max="16" width="11.421875" style="154" customWidth="1"/>
  </cols>
  <sheetData>
    <row r="1" spans="1:7" ht="15">
      <c r="A1" s="154" t="str">
        <f>Indice!C1</f>
        <v>IMPORT CENTER S.A.</v>
      </c>
      <c r="G1" s="177" t="s">
        <v>129</v>
      </c>
    </row>
    <row r="5" spans="1:4" ht="15">
      <c r="A5" s="337" t="s">
        <v>328</v>
      </c>
      <c r="B5" s="337"/>
      <c r="C5" s="337"/>
      <c r="D5" s="337"/>
    </row>
    <row r="6" spans="1:4" s="34" customFormat="1" ht="15">
      <c r="A6" s="178"/>
      <c r="B6" s="178"/>
      <c r="C6" s="178"/>
      <c r="D6" s="178"/>
    </row>
    <row r="7" spans="2:3" ht="15">
      <c r="B7" s="739" t="s">
        <v>293</v>
      </c>
      <c r="C7" s="739"/>
    </row>
    <row r="8" spans="1:3" ht="15">
      <c r="A8" s="326" t="s">
        <v>68</v>
      </c>
      <c r="B8" s="372">
        <f>_xlfn.IFERROR(IF(Indice!B6="","2XX2",YEAR(Indice!B6)),"2XX2")</f>
        <v>2021</v>
      </c>
      <c r="C8" s="372">
        <f>_xlfn.IFERROR(YEAR(Indice!B6-365),"2XX1")</f>
        <v>2020</v>
      </c>
    </row>
    <row r="9" spans="1:3" ht="15">
      <c r="A9" s="154" t="s">
        <v>138</v>
      </c>
      <c r="B9" s="570">
        <v>16885</v>
      </c>
      <c r="C9" s="570">
        <v>148686</v>
      </c>
    </row>
    <row r="10" spans="1:3" ht="15">
      <c r="A10" s="159" t="s">
        <v>139</v>
      </c>
      <c r="B10" s="570"/>
      <c r="C10" s="570"/>
    </row>
    <row r="11" spans="1:16" s="627" customFormat="1" ht="15">
      <c r="A11" s="154" t="s">
        <v>957</v>
      </c>
      <c r="B11" s="570">
        <v>0</v>
      </c>
      <c r="C11" s="570">
        <v>167447</v>
      </c>
      <c r="D11" s="154"/>
      <c r="E11" s="154"/>
      <c r="F11" s="154"/>
      <c r="G11" s="154"/>
      <c r="H11" s="154"/>
      <c r="I11" s="154"/>
      <c r="J11" s="154"/>
      <c r="K11" s="154"/>
      <c r="L11" s="154"/>
      <c r="M11" s="154"/>
      <c r="N11" s="154"/>
      <c r="O11" s="154"/>
      <c r="P11" s="154"/>
    </row>
    <row r="12" spans="1:16" s="627" customFormat="1" ht="15">
      <c r="A12" s="154" t="s">
        <v>995</v>
      </c>
      <c r="B12" s="570">
        <v>15771</v>
      </c>
      <c r="C12" s="570">
        <v>8623</v>
      </c>
      <c r="D12" s="154"/>
      <c r="E12" s="154"/>
      <c r="F12" s="154"/>
      <c r="G12" s="154"/>
      <c r="H12" s="154"/>
      <c r="I12" s="154"/>
      <c r="J12" s="154"/>
      <c r="K12" s="154"/>
      <c r="L12" s="154"/>
      <c r="M12" s="154"/>
      <c r="N12" s="154"/>
      <c r="O12" s="154"/>
      <c r="P12" s="154"/>
    </row>
    <row r="13" spans="1:16" s="627" customFormat="1" ht="15">
      <c r="A13" s="154"/>
      <c r="B13" s="570"/>
      <c r="C13" s="570"/>
      <c r="D13" s="154"/>
      <c r="E13" s="154"/>
      <c r="F13" s="154"/>
      <c r="G13" s="154"/>
      <c r="H13" s="154"/>
      <c r="I13" s="154"/>
      <c r="J13" s="154"/>
      <c r="K13" s="154"/>
      <c r="L13" s="154"/>
      <c r="M13" s="154"/>
      <c r="N13" s="154"/>
      <c r="O13" s="154"/>
      <c r="P13" s="154"/>
    </row>
    <row r="14" spans="1:3" ht="15">
      <c r="A14" s="154" t="s">
        <v>140</v>
      </c>
      <c r="B14" s="570"/>
      <c r="C14" s="570"/>
    </row>
    <row r="15" spans="1:3" ht="15">
      <c r="A15" s="154" t="s">
        <v>3</v>
      </c>
      <c r="B15" s="571">
        <f>SUM($B$9:B14)</f>
        <v>32656</v>
      </c>
      <c r="C15" s="571">
        <f>SUM($C$9:C14)</f>
        <v>324756</v>
      </c>
    </row>
  </sheetData>
  <sheetProtection/>
  <mergeCells count="1">
    <mergeCell ref="B7:C7"/>
  </mergeCells>
  <hyperlinks>
    <hyperlink ref="G1" location="BG!A1" display="BG"/>
  </hyperlink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codeName="Hoja23"/>
  <dimension ref="A1:M13"/>
  <sheetViews>
    <sheetView showGridLines="0" zoomScalePageLayoutView="0" workbookViewId="0" topLeftCell="A1">
      <selection activeCell="A16" sqref="A16"/>
    </sheetView>
  </sheetViews>
  <sheetFormatPr defaultColWidth="11.421875" defaultRowHeight="15"/>
  <cols>
    <col min="1" max="1" width="30.421875" style="154" bestFit="1" customWidth="1"/>
    <col min="2" max="3" width="22.7109375" style="154" customWidth="1"/>
    <col min="4" max="13" width="11.421875" style="154" customWidth="1"/>
  </cols>
  <sheetData>
    <row r="1" spans="1:4" ht="15">
      <c r="A1" s="154" t="str">
        <f>Indice!C1</f>
        <v>IMPORT CENTER S.A.</v>
      </c>
      <c r="D1" s="177" t="s">
        <v>129</v>
      </c>
    </row>
    <row r="4" spans="1:4" ht="15">
      <c r="A4" s="743" t="s">
        <v>314</v>
      </c>
      <c r="B4" s="743"/>
      <c r="C4" s="743"/>
      <c r="D4" s="743"/>
    </row>
    <row r="6" spans="2:3" ht="15">
      <c r="B6" s="739" t="s">
        <v>293</v>
      </c>
      <c r="C6" s="739"/>
    </row>
    <row r="7" spans="1:3" ht="15">
      <c r="A7" s="748" t="s">
        <v>69</v>
      </c>
      <c r="B7" s="372">
        <f>_xlfn.IFERROR(IF(Indice!B6="","2XX2",YEAR(Indice!B6)),"2XX2")</f>
        <v>2021</v>
      </c>
      <c r="C7" s="372">
        <f>_xlfn.IFERROR(YEAR(Indice!B6-365),"2XX1")</f>
        <v>2020</v>
      </c>
    </row>
    <row r="8" spans="1:3" ht="15">
      <c r="A8" s="748"/>
      <c r="B8" s="445"/>
      <c r="C8" s="445"/>
    </row>
    <row r="9" spans="1:13" s="322" customFormat="1" ht="15">
      <c r="A9" s="361" t="s">
        <v>826</v>
      </c>
      <c r="B9" s="154"/>
      <c r="C9" s="154"/>
      <c r="D9" s="154"/>
      <c r="E9" s="154"/>
      <c r="F9" s="154"/>
      <c r="G9" s="154"/>
      <c r="H9" s="154"/>
      <c r="I9" s="154"/>
      <c r="J9" s="154"/>
      <c r="K9" s="154"/>
      <c r="L9" s="154"/>
      <c r="M9" s="154"/>
    </row>
    <row r="10" spans="1:13" s="322" customFormat="1" ht="15">
      <c r="A10" s="361" t="s">
        <v>828</v>
      </c>
      <c r="B10" s="154"/>
      <c r="C10" s="154"/>
      <c r="D10" s="154"/>
      <c r="E10" s="154"/>
      <c r="F10" s="154"/>
      <c r="G10" s="154"/>
      <c r="H10" s="154"/>
      <c r="I10" s="154"/>
      <c r="J10" s="154"/>
      <c r="K10" s="154"/>
      <c r="L10" s="154"/>
      <c r="M10" s="154"/>
    </row>
    <row r="11" spans="1:13" s="322" customFormat="1" ht="15">
      <c r="A11" s="361" t="s">
        <v>827</v>
      </c>
      <c r="B11" s="154"/>
      <c r="C11" s="154"/>
      <c r="D11" s="154"/>
      <c r="E11" s="154"/>
      <c r="F11" s="154"/>
      <c r="G11" s="154"/>
      <c r="H11" s="154"/>
      <c r="I11" s="154"/>
      <c r="J11" s="154"/>
      <c r="K11" s="154"/>
      <c r="L11" s="154"/>
      <c r="M11" s="154"/>
    </row>
    <row r="12" ht="15">
      <c r="A12" s="154" t="s">
        <v>315</v>
      </c>
    </row>
    <row r="13" spans="1:3" ht="15">
      <c r="A13" s="154" t="s">
        <v>3</v>
      </c>
      <c r="B13" s="281">
        <f>SUM($B$9:B12)</f>
        <v>0</v>
      </c>
      <c r="C13" s="281">
        <f>SUM($C$9:C12)</f>
        <v>0</v>
      </c>
    </row>
  </sheetData>
  <sheetProtection/>
  <mergeCells count="3">
    <mergeCell ref="A4:D4"/>
    <mergeCell ref="A7:A8"/>
    <mergeCell ref="B6:C6"/>
  </mergeCells>
  <hyperlinks>
    <hyperlink ref="D1" location="BG!A1" display="BG"/>
  </hyperlink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codeName="Hoja24"/>
  <dimension ref="A1:G19"/>
  <sheetViews>
    <sheetView showGridLines="0" zoomScalePageLayoutView="0" workbookViewId="0" topLeftCell="A1">
      <selection activeCell="B16" sqref="B16"/>
    </sheetView>
  </sheetViews>
  <sheetFormatPr defaultColWidth="11.421875" defaultRowHeight="15"/>
  <cols>
    <col min="1" max="1" width="51.140625" style="0" customWidth="1"/>
    <col min="2" max="2" width="17.8515625" style="0" customWidth="1"/>
    <col min="3" max="3" width="14.8515625" style="0" bestFit="1" customWidth="1"/>
    <col min="4" max="4" width="3.421875" style="0" bestFit="1" customWidth="1"/>
    <col min="5" max="5" width="51.57421875" style="0" bestFit="1" customWidth="1"/>
    <col min="6" max="7" width="17.140625" style="0" customWidth="1"/>
  </cols>
  <sheetData>
    <row r="1" spans="1:4" ht="15">
      <c r="A1" t="str">
        <f>Indice!C1</f>
        <v>IMPORT CENTER S.A.</v>
      </c>
      <c r="D1" s="176" t="s">
        <v>129</v>
      </c>
    </row>
    <row r="3" spans="1:3" ht="15">
      <c r="A3" s="337" t="s">
        <v>316</v>
      </c>
      <c r="B3" s="337"/>
      <c r="C3" s="337"/>
    </row>
    <row r="4" spans="1:2" ht="15">
      <c r="A4" s="749" t="s">
        <v>293</v>
      </c>
      <c r="B4" s="749"/>
    </row>
    <row r="5" spans="1:7" ht="15">
      <c r="A5" s="11"/>
      <c r="E5" s="11"/>
      <c r="F5" s="323"/>
      <c r="G5" s="323"/>
    </row>
    <row r="6" spans="1:7" ht="15">
      <c r="A6" s="31" t="s">
        <v>65</v>
      </c>
      <c r="B6" s="427">
        <f>_xlfn.IFERROR(IF(Indice!B6="","2XX2",YEAR(Indice!B6)),"2XX2")</f>
        <v>2021</v>
      </c>
      <c r="C6" s="427">
        <f>_xlfn.IFERROR(YEAR(Indice!B6-365),"2XX1")</f>
        <v>2020</v>
      </c>
      <c r="E6" s="31" t="s">
        <v>815</v>
      </c>
      <c r="F6" s="427">
        <f>_xlfn.IFERROR(IF(Indice!B6="","2XX2",YEAR(Indice!B6)),"2XX2")</f>
        <v>2021</v>
      </c>
      <c r="G6" s="427">
        <f>_xlfn.IFERROR(YEAR(Indice!B6-365),"2XX1")</f>
        <v>2020</v>
      </c>
    </row>
    <row r="7" spans="1:7" ht="15">
      <c r="A7" s="32" t="s">
        <v>21</v>
      </c>
      <c r="B7" s="22">
        <v>0</v>
      </c>
      <c r="C7" s="22">
        <v>0</v>
      </c>
      <c r="E7" s="32" t="s">
        <v>21</v>
      </c>
      <c r="F7" s="11"/>
      <c r="G7" s="11"/>
    </row>
    <row r="8" spans="1:7" ht="15">
      <c r="A8" s="32" t="s">
        <v>20</v>
      </c>
      <c r="B8" s="572">
        <v>0</v>
      </c>
      <c r="C8" s="573"/>
      <c r="E8" s="11" t="s">
        <v>824</v>
      </c>
      <c r="F8" s="9"/>
      <c r="G8" s="27"/>
    </row>
    <row r="9" spans="1:7" ht="15">
      <c r="A9" s="32" t="s">
        <v>21</v>
      </c>
      <c r="B9" s="572">
        <v>0</v>
      </c>
      <c r="C9" s="573"/>
      <c r="E9" s="32" t="s">
        <v>21</v>
      </c>
      <c r="F9" s="9"/>
      <c r="G9" s="27"/>
    </row>
    <row r="10" spans="1:7" ht="15">
      <c r="A10" s="32" t="s">
        <v>142</v>
      </c>
      <c r="B10" s="572">
        <v>0</v>
      </c>
      <c r="C10" s="573"/>
      <c r="E10" s="32" t="s">
        <v>143</v>
      </c>
      <c r="F10" s="9"/>
      <c r="G10" s="27"/>
    </row>
    <row r="11" spans="1:7" ht="15">
      <c r="A11" s="11" t="s">
        <v>824</v>
      </c>
      <c r="B11" s="572"/>
      <c r="C11" s="573"/>
      <c r="E11" s="11" t="s">
        <v>824</v>
      </c>
      <c r="F11" s="9"/>
      <c r="G11" s="27"/>
    </row>
    <row r="12" spans="1:7" ht="15">
      <c r="A12" s="11" t="s">
        <v>141</v>
      </c>
      <c r="B12" s="572"/>
      <c r="C12" s="573"/>
      <c r="E12" s="11" t="s">
        <v>141</v>
      </c>
      <c r="F12" s="9"/>
      <c r="G12" s="27"/>
    </row>
    <row r="13" spans="1:7" s="554" customFormat="1" ht="15">
      <c r="A13" s="11" t="s">
        <v>996</v>
      </c>
      <c r="B13" s="572">
        <v>0</v>
      </c>
      <c r="C13" s="573">
        <v>0</v>
      </c>
      <c r="E13" s="11"/>
      <c r="F13" s="9"/>
      <c r="G13" s="27"/>
    </row>
    <row r="14" spans="1:7" s="560" customFormat="1" ht="15">
      <c r="A14" s="11" t="s">
        <v>997</v>
      </c>
      <c r="B14" s="572">
        <v>0</v>
      </c>
      <c r="C14" s="573">
        <v>0</v>
      </c>
      <c r="E14" s="11"/>
      <c r="F14" s="9"/>
      <c r="G14" s="27"/>
    </row>
    <row r="15" spans="1:7" s="627" customFormat="1" ht="15">
      <c r="A15" s="11" t="s">
        <v>998</v>
      </c>
      <c r="B15" s="572">
        <v>0</v>
      </c>
      <c r="C15" s="573">
        <v>0</v>
      </c>
      <c r="E15" s="11"/>
      <c r="F15" s="9"/>
      <c r="G15" s="27"/>
    </row>
    <row r="16" spans="1:7" ht="15">
      <c r="A16" s="340" t="s">
        <v>66</v>
      </c>
      <c r="B16" s="572"/>
      <c r="C16" s="573"/>
      <c r="E16" s="340" t="s">
        <v>66</v>
      </c>
      <c r="F16" s="322"/>
      <c r="G16" s="322"/>
    </row>
    <row r="17" spans="1:7" s="34" customFormat="1" ht="15.75" thickBot="1">
      <c r="A17" s="33" t="s">
        <v>18</v>
      </c>
      <c r="B17" s="574">
        <f>SUM(B7:B16)</f>
        <v>0</v>
      </c>
      <c r="C17" s="574">
        <f>SUM(C7:C16)</f>
        <v>0</v>
      </c>
      <c r="E17" s="33" t="s">
        <v>18</v>
      </c>
      <c r="F17" s="30">
        <f>SUM(F8:F16)</f>
        <v>0</v>
      </c>
      <c r="G17" s="97">
        <f>SUM(G8:G16)</f>
        <v>0</v>
      </c>
    </row>
    <row r="18" spans="1:3" s="34" customFormat="1" ht="15.75" thickTop="1">
      <c r="A18" s="33"/>
      <c r="B18" s="98"/>
      <c r="C18" s="99"/>
    </row>
    <row r="19" spans="5:7" ht="15">
      <c r="E19" s="33"/>
      <c r="F19" s="11"/>
      <c r="G19" s="19"/>
    </row>
  </sheetData>
  <sheetProtection/>
  <mergeCells count="1">
    <mergeCell ref="A4:B4"/>
  </mergeCells>
  <hyperlinks>
    <hyperlink ref="D1" location="BG!A1" display="BG"/>
  </hyperlinks>
  <printOptions horizontalCentered="1"/>
  <pageMargins left="0.7086614173228347" right="0.7086614173228347" top="0.7480314960629921" bottom="0.7480314960629921" header="0.31496062992125984" footer="0.31496062992125984"/>
  <pageSetup horizontalDpi="600" verticalDpi="600" orientation="portrait" paperSize="5" scale="80" r:id="rId1"/>
</worksheet>
</file>

<file path=xl/worksheets/sheet26.xml><?xml version="1.0" encoding="utf-8"?>
<worksheet xmlns="http://schemas.openxmlformats.org/spreadsheetml/2006/main" xmlns:r="http://schemas.openxmlformats.org/officeDocument/2006/relationships">
  <sheetPr codeName="Hoja25"/>
  <dimension ref="A1:L11"/>
  <sheetViews>
    <sheetView showGridLines="0" zoomScalePageLayoutView="0" workbookViewId="0" topLeftCell="A1">
      <selection activeCell="C10" sqref="C10"/>
    </sheetView>
  </sheetViews>
  <sheetFormatPr defaultColWidth="11.421875" defaultRowHeight="15"/>
  <cols>
    <col min="1" max="1" width="38.28125" style="0" customWidth="1"/>
    <col min="2" max="2" width="19.57421875" style="0" customWidth="1"/>
    <col min="3" max="3" width="17.8515625" style="0" customWidth="1"/>
    <col min="4" max="4" width="15.421875" style="0" customWidth="1"/>
    <col min="5" max="5" width="10.7109375" style="0" customWidth="1"/>
    <col min="6" max="6" width="33.57421875" style="0" customWidth="1"/>
    <col min="7" max="7" width="1.1484375" style="0" customWidth="1"/>
    <col min="9" max="9" width="1.1484375" style="0" customWidth="1"/>
    <col min="10" max="10" width="18.140625" style="0" customWidth="1"/>
    <col min="11" max="11" width="1.1484375" style="0" customWidth="1"/>
    <col min="12" max="12" width="13.140625" style="0" customWidth="1"/>
  </cols>
  <sheetData>
    <row r="1" spans="1:4" ht="15">
      <c r="A1" t="str">
        <f>Indice!C1</f>
        <v>IMPORT CENTER S.A.</v>
      </c>
      <c r="D1" s="176" t="s">
        <v>129</v>
      </c>
    </row>
    <row r="4" spans="1:12" ht="15">
      <c r="A4" s="750" t="s">
        <v>318</v>
      </c>
      <c r="B4" s="750"/>
      <c r="C4" s="750"/>
      <c r="D4" s="750"/>
      <c r="E4" s="278"/>
      <c r="F4" s="278"/>
      <c r="G4" s="278"/>
      <c r="H4" s="278"/>
      <c r="I4" s="278"/>
      <c r="J4" s="278"/>
      <c r="K4" s="278"/>
      <c r="L4" s="278"/>
    </row>
    <row r="5" spans="5:12" ht="15">
      <c r="E5" s="67"/>
      <c r="F5" s="67"/>
      <c r="G5" s="67"/>
      <c r="H5" s="67"/>
      <c r="I5" s="67"/>
      <c r="J5" s="67"/>
      <c r="K5" s="67"/>
      <c r="L5" s="67"/>
    </row>
    <row r="6" spans="1:12" s="322" customFormat="1" ht="15">
      <c r="A6" s="322" t="s">
        <v>829</v>
      </c>
      <c r="B6" s="427">
        <f>_xlfn.IFERROR(IF(Indice!B6="","2XX2",YEAR(Indice!B6)),"2XX2")</f>
        <v>2021</v>
      </c>
      <c r="C6" s="427">
        <f>_xlfn.IFERROR(YEAR(Indice!B6-365),"2XX1")</f>
        <v>2020</v>
      </c>
      <c r="E6" s="67"/>
      <c r="F6" s="67"/>
      <c r="G6" s="67"/>
      <c r="H6" s="67"/>
      <c r="I6" s="67"/>
      <c r="J6" s="67"/>
      <c r="K6" s="67"/>
      <c r="L6" s="67"/>
    </row>
    <row r="7" spans="1:12" s="322" customFormat="1" ht="15">
      <c r="A7" s="322" t="s">
        <v>830</v>
      </c>
      <c r="B7" s="485">
        <v>20000000</v>
      </c>
      <c r="C7" s="485">
        <v>20000000</v>
      </c>
      <c r="E7" s="67"/>
      <c r="F7" s="67"/>
      <c r="G7" s="67"/>
      <c r="H7" s="67"/>
      <c r="I7" s="67"/>
      <c r="J7" s="67"/>
      <c r="K7" s="67"/>
      <c r="L7" s="67"/>
    </row>
    <row r="8" spans="1:12" s="322" customFormat="1" ht="15">
      <c r="A8" s="322" t="s">
        <v>833</v>
      </c>
      <c r="B8" s="485">
        <v>20000000</v>
      </c>
      <c r="C8" s="485">
        <f>+C7</f>
        <v>20000000</v>
      </c>
      <c r="E8" s="67"/>
      <c r="F8" s="67"/>
      <c r="G8" s="67"/>
      <c r="H8" s="67"/>
      <c r="I8" s="67"/>
      <c r="J8" s="67"/>
      <c r="K8" s="67"/>
      <c r="L8" s="67"/>
    </row>
    <row r="9" spans="1:12" s="322" customFormat="1" ht="15">
      <c r="A9" s="322" t="s">
        <v>832</v>
      </c>
      <c r="B9" s="485">
        <v>20000</v>
      </c>
      <c r="C9" s="485">
        <v>20000</v>
      </c>
      <c r="E9" s="67"/>
      <c r="F9" s="67"/>
      <c r="G9" s="67"/>
      <c r="H9" s="67"/>
      <c r="I9" s="67"/>
      <c r="J9" s="67"/>
      <c r="K9" s="67"/>
      <c r="L9" s="67"/>
    </row>
    <row r="10" spans="1:12" s="322" customFormat="1" ht="15">
      <c r="A10" s="359" t="s">
        <v>831</v>
      </c>
      <c r="B10" s="546">
        <v>1000000</v>
      </c>
      <c r="C10" s="546">
        <v>1000000</v>
      </c>
      <c r="E10" s="67"/>
      <c r="F10" s="67"/>
      <c r="G10" s="67"/>
      <c r="H10" s="67"/>
      <c r="I10" s="67"/>
      <c r="J10" s="67"/>
      <c r="K10" s="67"/>
      <c r="L10" s="67"/>
    </row>
    <row r="11" spans="1:3" ht="15">
      <c r="A11" t="s">
        <v>3</v>
      </c>
      <c r="B11" s="485">
        <f>+B8</f>
        <v>20000000</v>
      </c>
      <c r="C11" s="485">
        <f>+C8</f>
        <v>20000000</v>
      </c>
    </row>
  </sheetData>
  <sheetProtection/>
  <mergeCells count="1">
    <mergeCell ref="A4:D4"/>
  </mergeCells>
  <hyperlinks>
    <hyperlink ref="D1" location="BG!A1" display="BG"/>
  </hyperlinks>
  <printOptions/>
  <pageMargins left="0.7086614173228347" right="0.7086614173228347" top="0.7480314960629921" bottom="0.7480314960629921" header="0.31496062992125984" footer="0.31496062992125984"/>
  <pageSetup horizontalDpi="600" verticalDpi="600" orientation="portrait" paperSize="9" scale="80" r:id="rId1"/>
</worksheet>
</file>

<file path=xl/worksheets/sheet27.xml><?xml version="1.0" encoding="utf-8"?>
<worksheet xmlns="http://schemas.openxmlformats.org/spreadsheetml/2006/main" xmlns:r="http://schemas.openxmlformats.org/officeDocument/2006/relationships">
  <sheetPr codeName="Hoja26"/>
  <dimension ref="A1:O22"/>
  <sheetViews>
    <sheetView zoomScalePageLayoutView="0" workbookViewId="0" topLeftCell="A7">
      <selection activeCell="B13" sqref="B13"/>
    </sheetView>
  </sheetViews>
  <sheetFormatPr defaultColWidth="11.421875" defaultRowHeight="15"/>
  <cols>
    <col min="1" max="1" width="24.8515625" style="154" customWidth="1"/>
    <col min="2" max="2" width="18.57421875" style="154" customWidth="1"/>
    <col min="3" max="3" width="16.7109375" style="154" customWidth="1"/>
    <col min="4" max="15" width="11.421875" style="154" customWidth="1"/>
  </cols>
  <sheetData>
    <row r="1" spans="1:6" ht="15">
      <c r="A1" s="154" t="str">
        <f>Indice!C1</f>
        <v>IMPORT CENTER S.A.</v>
      </c>
      <c r="F1" s="177" t="s">
        <v>129</v>
      </c>
    </row>
    <row r="3" spans="10:11" ht="15">
      <c r="J3" s="34"/>
      <c r="K3" s="34"/>
    </row>
    <row r="4" spans="1:13" ht="15">
      <c r="A4" s="743" t="s">
        <v>320</v>
      </c>
      <c r="B4" s="743"/>
      <c r="C4" s="743"/>
      <c r="D4" s="743"/>
      <c r="E4" s="743"/>
      <c r="F4" s="743"/>
      <c r="G4" s="180"/>
      <c r="H4" s="180"/>
      <c r="I4" s="180"/>
      <c r="J4" s="34"/>
      <c r="K4" s="34"/>
      <c r="L4" s="180"/>
      <c r="M4" s="180"/>
    </row>
    <row r="5" spans="10:11" ht="15">
      <c r="J5" s="34"/>
      <c r="K5" s="34"/>
    </row>
    <row r="6" spans="2:3" ht="15">
      <c r="B6" s="739" t="s">
        <v>293</v>
      </c>
      <c r="C6" s="739"/>
    </row>
    <row r="7" spans="2:3" ht="15">
      <c r="B7" s="427">
        <f>_xlfn.IFERROR(IF(Indice!B6="","2XX2",YEAR(Indice!B6)),"2XX2")</f>
        <v>2021</v>
      </c>
      <c r="C7" s="427">
        <f>_xlfn.IFERROR(YEAR(Indice!B6-365),"2XX1")</f>
        <v>2020</v>
      </c>
    </row>
    <row r="8" spans="1:3" ht="15">
      <c r="A8" s="363" t="s">
        <v>145</v>
      </c>
      <c r="B8" s="575">
        <v>6300015</v>
      </c>
      <c r="C8" s="575">
        <v>6300015</v>
      </c>
    </row>
    <row r="9" spans="1:15" s="322" customFormat="1" ht="15">
      <c r="A9" s="159"/>
      <c r="B9" s="154"/>
      <c r="C9" s="154"/>
      <c r="D9" s="154"/>
      <c r="E9" s="154"/>
      <c r="F9" s="154"/>
      <c r="G9" s="154"/>
      <c r="H9" s="154"/>
      <c r="I9" s="154"/>
      <c r="J9" s="154"/>
      <c r="K9" s="154"/>
      <c r="L9" s="154"/>
      <c r="M9" s="154"/>
      <c r="N9" s="154"/>
      <c r="O9" s="154"/>
    </row>
    <row r="10" spans="1:15" s="322" customFormat="1" ht="15">
      <c r="A10" s="159"/>
      <c r="B10" s="154"/>
      <c r="C10" s="154"/>
      <c r="D10" s="154"/>
      <c r="E10" s="154"/>
      <c r="F10" s="154"/>
      <c r="G10" s="154"/>
      <c r="H10" s="154"/>
      <c r="I10" s="154"/>
      <c r="J10" s="154"/>
      <c r="K10" s="154"/>
      <c r="L10" s="154"/>
      <c r="M10" s="154"/>
      <c r="N10" s="154"/>
      <c r="O10" s="154"/>
    </row>
    <row r="11" spans="1:15" s="322" customFormat="1" ht="15">
      <c r="A11" s="159"/>
      <c r="B11" s="154"/>
      <c r="C11" s="154"/>
      <c r="D11" s="154"/>
      <c r="E11" s="154"/>
      <c r="F11" s="154"/>
      <c r="G11" s="154"/>
      <c r="H11" s="154"/>
      <c r="I11" s="154"/>
      <c r="J11" s="154"/>
      <c r="K11" s="154"/>
      <c r="L11" s="154"/>
      <c r="M11" s="154"/>
      <c r="N11" s="154"/>
      <c r="O11" s="154"/>
    </row>
    <row r="12" spans="1:3" ht="15">
      <c r="A12" s="363" t="s">
        <v>146</v>
      </c>
      <c r="B12" s="576">
        <v>1695044</v>
      </c>
      <c r="C12" s="576">
        <v>1524514</v>
      </c>
    </row>
    <row r="13" spans="1:15" s="322" customFormat="1" ht="15">
      <c r="A13" s="159"/>
      <c r="B13" s="154"/>
      <c r="C13" s="154"/>
      <c r="D13" s="154"/>
      <c r="E13" s="154"/>
      <c r="F13" s="154"/>
      <c r="G13" s="154"/>
      <c r="H13" s="154"/>
      <c r="I13" s="154"/>
      <c r="J13" s="154"/>
      <c r="K13" s="154"/>
      <c r="L13" s="154"/>
      <c r="M13" s="154"/>
      <c r="N13" s="154"/>
      <c r="O13" s="154"/>
    </row>
    <row r="14" spans="1:15" s="322" customFormat="1" ht="15">
      <c r="A14" s="159"/>
      <c r="B14" s="154"/>
      <c r="C14" s="154"/>
      <c r="D14" s="154"/>
      <c r="E14" s="154"/>
      <c r="F14" s="154"/>
      <c r="G14" s="154"/>
      <c r="H14" s="154"/>
      <c r="I14" s="154"/>
      <c r="J14" s="154"/>
      <c r="K14" s="154"/>
      <c r="L14" s="154"/>
      <c r="M14" s="154"/>
      <c r="N14" s="154"/>
      <c r="O14" s="154"/>
    </row>
    <row r="15" spans="1:15" s="322" customFormat="1" ht="15">
      <c r="A15" s="159"/>
      <c r="B15" s="154"/>
      <c r="C15" s="154"/>
      <c r="D15" s="154"/>
      <c r="E15" s="154"/>
      <c r="F15" s="154"/>
      <c r="G15" s="154"/>
      <c r="H15" s="154"/>
      <c r="I15" s="154"/>
      <c r="J15" s="154"/>
      <c r="K15" s="154"/>
      <c r="L15" s="154"/>
      <c r="M15" s="154"/>
      <c r="N15" s="154"/>
      <c r="O15" s="154"/>
    </row>
    <row r="16" spans="1:3" ht="15">
      <c r="A16" s="363" t="s">
        <v>147</v>
      </c>
      <c r="B16" s="157">
        <v>0</v>
      </c>
      <c r="C16" s="157">
        <v>0</v>
      </c>
    </row>
    <row r="17" spans="1:15" s="322" customFormat="1" ht="15">
      <c r="A17" s="159"/>
      <c r="B17" s="154"/>
      <c r="C17" s="154"/>
      <c r="D17" s="154"/>
      <c r="E17" s="154"/>
      <c r="F17" s="154"/>
      <c r="G17" s="154"/>
      <c r="H17" s="154"/>
      <c r="I17" s="154"/>
      <c r="J17" s="154"/>
      <c r="K17" s="154"/>
      <c r="L17" s="154"/>
      <c r="M17" s="154"/>
      <c r="N17" s="154"/>
      <c r="O17" s="154"/>
    </row>
    <row r="18" spans="1:15" s="322" customFormat="1" ht="15">
      <c r="A18" s="159"/>
      <c r="B18" s="154"/>
      <c r="C18" s="154"/>
      <c r="D18" s="154"/>
      <c r="E18" s="154"/>
      <c r="F18" s="154"/>
      <c r="G18" s="154"/>
      <c r="H18" s="154"/>
      <c r="I18" s="154"/>
      <c r="J18" s="154"/>
      <c r="K18" s="154"/>
      <c r="L18" s="154"/>
      <c r="M18" s="154"/>
      <c r="N18" s="154"/>
      <c r="O18" s="154"/>
    </row>
    <row r="19" spans="1:15" s="322" customFormat="1" ht="15">
      <c r="A19" s="159"/>
      <c r="B19" s="154"/>
      <c r="C19" s="154"/>
      <c r="D19" s="154"/>
      <c r="E19" s="154"/>
      <c r="F19" s="154"/>
      <c r="G19" s="154"/>
      <c r="H19" s="154"/>
      <c r="I19" s="154"/>
      <c r="J19" s="154"/>
      <c r="K19" s="154"/>
      <c r="L19" s="154"/>
      <c r="M19" s="154"/>
      <c r="N19" s="154"/>
      <c r="O19" s="154"/>
    </row>
    <row r="20" spans="1:3" ht="15">
      <c r="A20" s="363" t="s">
        <v>148</v>
      </c>
      <c r="B20" s="576">
        <v>1882449</v>
      </c>
      <c r="C20" s="157">
        <f>+SUM($C$21:C26)</f>
        <v>0</v>
      </c>
    </row>
    <row r="21" ht="15">
      <c r="A21" s="362" t="s">
        <v>834</v>
      </c>
    </row>
    <row r="22" ht="15">
      <c r="A22" s="154" t="s">
        <v>835</v>
      </c>
    </row>
  </sheetData>
  <sheetProtection/>
  <mergeCells count="2">
    <mergeCell ref="A4:F4"/>
    <mergeCell ref="B6:C6"/>
  </mergeCells>
  <hyperlinks>
    <hyperlink ref="F1" location="BG!A1" display="BG"/>
  </hyperlinks>
  <printOptions/>
  <pageMargins left="0.7" right="0.7" top="0.75" bottom="0.75" header="0.3" footer="0.3"/>
  <pageSetup orientation="portrait" paperSize="9"/>
  <drawing r:id="rId1"/>
</worksheet>
</file>

<file path=xl/worksheets/sheet28.xml><?xml version="1.0" encoding="utf-8"?>
<worksheet xmlns="http://schemas.openxmlformats.org/spreadsheetml/2006/main" xmlns:r="http://schemas.openxmlformats.org/officeDocument/2006/relationships">
  <sheetPr codeName="Hoja27"/>
  <dimension ref="A1:F8"/>
  <sheetViews>
    <sheetView zoomScalePageLayoutView="0" workbookViewId="0" topLeftCell="A1">
      <selection activeCell="B8" sqref="B8"/>
    </sheetView>
  </sheetViews>
  <sheetFormatPr defaultColWidth="11.421875" defaultRowHeight="15"/>
  <cols>
    <col min="1" max="1" width="34.421875" style="34" customWidth="1"/>
    <col min="2" max="3" width="19.00390625" style="34" customWidth="1"/>
    <col min="4" max="25" width="11.421875" style="34" customWidth="1"/>
  </cols>
  <sheetData>
    <row r="1" spans="1:6" ht="15">
      <c r="A1" s="34" t="str">
        <f>Indice!C1</f>
        <v>IMPORT CENTER S.A.</v>
      </c>
      <c r="F1" s="181" t="s">
        <v>129</v>
      </c>
    </row>
    <row r="4" spans="1:6" ht="15">
      <c r="A4" s="337" t="s">
        <v>319</v>
      </c>
      <c r="B4" s="337"/>
      <c r="C4" s="337"/>
      <c r="D4" s="337"/>
      <c r="E4" s="278"/>
      <c r="F4" s="279"/>
    </row>
    <row r="6" spans="2:3" ht="15">
      <c r="B6" s="739" t="s">
        <v>293</v>
      </c>
      <c r="C6" s="739"/>
    </row>
    <row r="7" spans="2:3" ht="15">
      <c r="B7" s="427">
        <f>_xlfn.IFERROR(IF(Indice!B6="","2XX2",YEAR(Indice!B6)),"2XX2")</f>
        <v>2021</v>
      </c>
      <c r="C7" s="427">
        <f>+_xlfn.IFERROR(YEAR(Indice!B6-365),"2XX1")</f>
        <v>2020</v>
      </c>
    </row>
    <row r="8" ht="15">
      <c r="A8" s="182" t="s">
        <v>70</v>
      </c>
    </row>
  </sheetData>
  <sheetProtection/>
  <mergeCells count="1">
    <mergeCell ref="B6:C6"/>
  </mergeCells>
  <hyperlinks>
    <hyperlink ref="F1" location="BG!A1" display="BG"/>
  </hyperlink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codeName="Hoja28"/>
  <dimension ref="A1:F10"/>
  <sheetViews>
    <sheetView zoomScalePageLayoutView="0" workbookViewId="0" topLeftCell="A1">
      <selection activeCell="B9" sqref="B9"/>
    </sheetView>
  </sheetViews>
  <sheetFormatPr defaultColWidth="11.421875" defaultRowHeight="15"/>
  <cols>
    <col min="1" max="1" width="40.7109375" style="34" customWidth="1"/>
    <col min="2" max="3" width="19.00390625" style="34" customWidth="1"/>
    <col min="4" max="32" width="11.421875" style="34" customWidth="1"/>
  </cols>
  <sheetData>
    <row r="1" spans="1:6" ht="15">
      <c r="A1" s="34" t="str">
        <f>Indice!C1</f>
        <v>IMPORT CENTER S.A.</v>
      </c>
      <c r="F1" s="181" t="s">
        <v>129</v>
      </c>
    </row>
    <row r="4" spans="1:6" ht="15">
      <c r="A4" s="337" t="s">
        <v>321</v>
      </c>
      <c r="B4" s="337"/>
      <c r="C4" s="337"/>
      <c r="D4" s="337"/>
      <c r="E4" s="337"/>
      <c r="F4" s="337"/>
    </row>
    <row r="6" spans="2:3" ht="15">
      <c r="B6" s="739" t="s">
        <v>293</v>
      </c>
      <c r="C6" s="739"/>
    </row>
    <row r="7" spans="1:3" ht="15">
      <c r="A7" s="182"/>
      <c r="B7" s="427">
        <f>_xlfn.IFERROR(IF(Indice!B6="","2XX2",YEAR(Indice!B6)),"2XX2")</f>
        <v>2021</v>
      </c>
      <c r="C7" s="427">
        <f>+_xlfn.IFERROR(YEAR(Indice!B6-365),"2XX1")</f>
        <v>2020</v>
      </c>
    </row>
    <row r="8" spans="1:3" ht="15">
      <c r="A8" s="34" t="s">
        <v>149</v>
      </c>
      <c r="B8" s="577">
        <v>4376192</v>
      </c>
      <c r="C8" s="577">
        <v>4376192</v>
      </c>
    </row>
    <row r="9" spans="1:3" ht="15">
      <c r="A9" s="34" t="s">
        <v>151</v>
      </c>
      <c r="B9" s="654">
        <v>3240076</v>
      </c>
      <c r="C9" s="577">
        <v>2032449</v>
      </c>
    </row>
    <row r="10" spans="1:3" ht="15">
      <c r="A10" s="34" t="s">
        <v>297</v>
      </c>
      <c r="B10" s="653">
        <f>SUM(B8:B9)</f>
        <v>7616268</v>
      </c>
      <c r="C10" s="280">
        <f>SUM($C$8:C9)</f>
        <v>6408641</v>
      </c>
    </row>
  </sheetData>
  <sheetProtection/>
  <mergeCells count="1">
    <mergeCell ref="B6:C6"/>
  </mergeCells>
  <hyperlinks>
    <hyperlink ref="F1" location="BG!A1" display="BG"/>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Hoja2"/>
  <dimension ref="A1:G84"/>
  <sheetViews>
    <sheetView showGridLines="0" zoomScalePageLayoutView="0" workbookViewId="0" topLeftCell="A43">
      <selection activeCell="F67" sqref="F67:G67"/>
    </sheetView>
  </sheetViews>
  <sheetFormatPr defaultColWidth="11.421875" defaultRowHeight="15"/>
  <cols>
    <col min="1" max="1" width="2.140625" style="59" customWidth="1"/>
    <col min="2" max="2" width="2.00390625" style="59" customWidth="1"/>
    <col min="3" max="3" width="2.28125" style="59" customWidth="1"/>
    <col min="4" max="4" width="51.8515625" style="59" customWidth="1"/>
    <col min="5" max="5" width="10.28125" style="101" customWidth="1"/>
    <col min="6" max="7" width="21.7109375" style="59" bestFit="1" customWidth="1"/>
    <col min="8" max="16384" width="11.421875" style="59" customWidth="1"/>
  </cols>
  <sheetData>
    <row r="1" spans="4:5" ht="15">
      <c r="D1" s="604" t="str">
        <f>Indice!C1</f>
        <v>IMPORT CENTER S.A.</v>
      </c>
      <c r="E1" s="234" t="s">
        <v>365</v>
      </c>
    </row>
    <row r="3" ht="11.25">
      <c r="F3" s="144"/>
    </row>
    <row r="6" ht="11.25">
      <c r="G6" s="64"/>
    </row>
    <row r="7" spans="1:7" ht="12.75">
      <c r="A7" s="665" t="s">
        <v>280</v>
      </c>
      <c r="B7" s="665"/>
      <c r="C7" s="665"/>
      <c r="D7" s="665"/>
      <c r="E7" s="665"/>
      <c r="F7" s="665"/>
      <c r="G7" s="665"/>
    </row>
    <row r="8" spans="1:7" ht="15" customHeight="1">
      <c r="A8" s="665" t="str">
        <f>_xlfn.IFERROR(IF(Indice!B6="","Al dia... de mes… de año 2XX2…","Al "&amp;DAY(Indice!B6)&amp;" de "&amp;VLOOKUP(MONTH(Indice!B6),Indice!S:T,2,0)&amp;" de "&amp;YEAR(Indice!B6)),"Al dia... de mes… de año 2XX2…")</f>
        <v>Al 31 de Diciembre de 2021</v>
      </c>
      <c r="B8" s="665"/>
      <c r="C8" s="665"/>
      <c r="D8" s="665"/>
      <c r="E8" s="665"/>
      <c r="F8" s="665"/>
      <c r="G8" s="665"/>
    </row>
    <row r="9" spans="1:7" ht="12.75">
      <c r="A9" s="665" t="s">
        <v>1002</v>
      </c>
      <c r="B9" s="665"/>
      <c r="C9" s="665"/>
      <c r="D9" s="665"/>
      <c r="E9" s="665"/>
      <c r="F9" s="665"/>
      <c r="G9" s="665"/>
    </row>
    <row r="10" spans="1:7" ht="12.75">
      <c r="A10" s="667" t="s">
        <v>258</v>
      </c>
      <c r="B10" s="667"/>
      <c r="C10" s="667"/>
      <c r="D10" s="667"/>
      <c r="E10" s="667"/>
      <c r="F10" s="667"/>
      <c r="G10" s="667"/>
    </row>
    <row r="11" spans="1:7" ht="12">
      <c r="A11" s="72"/>
      <c r="B11" s="72"/>
      <c r="C11" s="72"/>
      <c r="D11" s="72"/>
      <c r="E11" s="5"/>
      <c r="F11" s="72"/>
      <c r="G11" s="72"/>
    </row>
    <row r="12" spans="1:7" ht="15">
      <c r="A12" s="72"/>
      <c r="B12" s="232"/>
      <c r="C12" s="232"/>
      <c r="D12" s="232"/>
      <c r="E12" s="330" t="s">
        <v>203</v>
      </c>
      <c r="F12" s="330">
        <f>_xlfn.IFERROR(IF(Indice!B6="","2XX2",YEAR(Indice!B6)),"2XX2")</f>
        <v>2021</v>
      </c>
      <c r="G12" s="330">
        <f>_xlfn.IFERROR(YEAR(Indice!B6-365),"2XX1")</f>
        <v>2020</v>
      </c>
    </row>
    <row r="13" spans="2:5" ht="15">
      <c r="B13" s="673" t="s">
        <v>204</v>
      </c>
      <c r="C13" s="673"/>
      <c r="D13" s="673"/>
      <c r="E13" s="237"/>
    </row>
    <row r="14" spans="1:7" ht="12.75">
      <c r="A14" s="72"/>
      <c r="B14" s="93" t="s">
        <v>205</v>
      </c>
      <c r="C14" s="48"/>
      <c r="D14" s="48"/>
      <c r="E14" s="233"/>
      <c r="F14" s="48"/>
      <c r="G14" s="94"/>
    </row>
    <row r="15" spans="1:7" ht="15">
      <c r="A15" s="72"/>
      <c r="B15" s="48"/>
      <c r="C15" s="670" t="s">
        <v>206</v>
      </c>
      <c r="D15" s="670"/>
      <c r="E15" s="253">
        <v>3</v>
      </c>
      <c r="F15" s="69">
        <f>'Nota 3'!C20</f>
        <v>864757</v>
      </c>
      <c r="G15" s="69">
        <f>'Nota 3'!D20</f>
        <v>7283345</v>
      </c>
    </row>
    <row r="16" spans="1:7" ht="15">
      <c r="A16" s="72"/>
      <c r="B16" s="48"/>
      <c r="C16" s="670" t="s">
        <v>109</v>
      </c>
      <c r="D16" s="670"/>
      <c r="E16" s="253">
        <v>4</v>
      </c>
      <c r="F16" s="69">
        <f>'Nota 4'!B18</f>
        <v>0</v>
      </c>
      <c r="G16" s="69">
        <f>'Nota 4'!C18</f>
        <v>0</v>
      </c>
    </row>
    <row r="17" spans="1:7" ht="15">
      <c r="A17" s="72"/>
      <c r="B17" s="48"/>
      <c r="C17" s="670" t="s">
        <v>207</v>
      </c>
      <c r="D17" s="670"/>
      <c r="E17" s="253">
        <v>5</v>
      </c>
      <c r="F17" s="69">
        <f>'Nota 5'!C25</f>
        <v>7496274</v>
      </c>
      <c r="G17" s="69">
        <f>'Nota 5'!D25</f>
        <v>7030723</v>
      </c>
    </row>
    <row r="18" spans="1:7" ht="15">
      <c r="A18" s="90"/>
      <c r="B18" s="48"/>
      <c r="C18" s="670" t="s">
        <v>40</v>
      </c>
      <c r="D18" s="670"/>
      <c r="E18" s="253">
        <v>6</v>
      </c>
      <c r="F18" s="69">
        <f>'Nota 6'!B26</f>
        <v>8489533</v>
      </c>
      <c r="G18" s="69">
        <f>'Nota 6'!C26</f>
        <v>6855891</v>
      </c>
    </row>
    <row r="19" spans="1:7" ht="15">
      <c r="A19" s="72"/>
      <c r="B19" s="48"/>
      <c r="C19" s="670" t="s">
        <v>208</v>
      </c>
      <c r="D19" s="670"/>
      <c r="E19" s="253">
        <v>7</v>
      </c>
      <c r="F19" s="69">
        <f>'Nota 7'!B16</f>
        <v>32388076</v>
      </c>
      <c r="G19" s="69">
        <f>'Nota 7'!C16</f>
        <v>22224404</v>
      </c>
    </row>
    <row r="20" spans="1:7" ht="12.75">
      <c r="A20" s="72"/>
      <c r="B20" s="48"/>
      <c r="C20" s="93" t="s">
        <v>289</v>
      </c>
      <c r="D20" s="48"/>
      <c r="E20" s="233"/>
      <c r="F20" s="105">
        <f>SUM(F15:F19)</f>
        <v>49238640</v>
      </c>
      <c r="G20" s="105">
        <f>SUM(G15:G19)</f>
        <v>43394363</v>
      </c>
    </row>
    <row r="21" spans="1:7" ht="12.75">
      <c r="A21" s="72"/>
      <c r="B21" s="93" t="s">
        <v>209</v>
      </c>
      <c r="C21" s="48"/>
      <c r="D21" s="48"/>
      <c r="E21" s="233"/>
      <c r="F21" s="48"/>
      <c r="G21" s="94"/>
    </row>
    <row r="22" spans="1:7" ht="15">
      <c r="A22" s="72"/>
      <c r="B22" s="48"/>
      <c r="C22" s="670" t="s">
        <v>210</v>
      </c>
      <c r="D22" s="670"/>
      <c r="E22" s="253">
        <v>6</v>
      </c>
      <c r="F22" s="69">
        <f>'Nota 6'!F19</f>
        <v>39395</v>
      </c>
      <c r="G22" s="107">
        <f>'Nota 6'!G19</f>
        <v>59092</v>
      </c>
    </row>
    <row r="23" spans="1:7" ht="15">
      <c r="A23" s="72"/>
      <c r="B23" s="48"/>
      <c r="C23" s="422" t="s">
        <v>207</v>
      </c>
      <c r="D23" s="422"/>
      <c r="E23" s="253">
        <v>5</v>
      </c>
      <c r="F23" s="69">
        <f>'Nota 5'!C52</f>
        <v>763928</v>
      </c>
      <c r="G23" s="107">
        <f>'Nota 5'!D52</f>
        <v>736915</v>
      </c>
    </row>
    <row r="24" spans="1:7" ht="15">
      <c r="A24" s="72"/>
      <c r="B24" s="48"/>
      <c r="C24" s="670" t="s">
        <v>390</v>
      </c>
      <c r="D24" s="670"/>
      <c r="E24" s="253">
        <v>8</v>
      </c>
      <c r="F24" s="69">
        <f>'Nota 8'!B8</f>
        <v>0</v>
      </c>
      <c r="G24" s="94">
        <f>'Nota 8'!C8</f>
        <v>0</v>
      </c>
    </row>
    <row r="25" spans="1:7" ht="15">
      <c r="A25" s="72"/>
      <c r="B25" s="48"/>
      <c r="C25" s="670" t="s">
        <v>391</v>
      </c>
      <c r="D25" s="670"/>
      <c r="E25" s="253">
        <v>9</v>
      </c>
      <c r="F25" s="69">
        <f>'Nota 9'!L27</f>
        <v>13637785</v>
      </c>
      <c r="G25" s="94">
        <f>'Nota 9'!M27</f>
        <v>14025601</v>
      </c>
    </row>
    <row r="26" spans="1:7" ht="15">
      <c r="A26" s="72"/>
      <c r="B26" s="48"/>
      <c r="C26" s="670" t="s">
        <v>228</v>
      </c>
      <c r="D26" s="670"/>
      <c r="E26" s="253">
        <v>10</v>
      </c>
      <c r="F26" s="69">
        <f>'Nota 10'!B19</f>
        <v>0</v>
      </c>
      <c r="G26" s="94">
        <f>'Nota 10'!C19</f>
        <v>0</v>
      </c>
    </row>
    <row r="27" spans="1:7" ht="15">
      <c r="A27" s="72"/>
      <c r="B27" s="48"/>
      <c r="C27" s="670" t="s">
        <v>122</v>
      </c>
      <c r="D27" s="670"/>
      <c r="E27" s="253">
        <v>11</v>
      </c>
      <c r="F27" s="69">
        <f>'Nota 11'!B10</f>
        <v>0</v>
      </c>
      <c r="G27" s="94">
        <f>'Nota 11'!C10</f>
        <v>0</v>
      </c>
    </row>
    <row r="28" spans="1:7" ht="15">
      <c r="A28" s="72"/>
      <c r="B28" s="48"/>
      <c r="C28" s="670" t="s">
        <v>128</v>
      </c>
      <c r="D28" s="670"/>
      <c r="E28" s="253">
        <v>12</v>
      </c>
      <c r="F28" s="69">
        <f>'Nota 12'!B11</f>
        <v>0</v>
      </c>
      <c r="G28" s="94">
        <f>'Nota 12'!C11</f>
        <v>0</v>
      </c>
    </row>
    <row r="29" spans="1:7" ht="12.75">
      <c r="A29" s="72"/>
      <c r="B29" s="48"/>
      <c r="C29" s="676" t="s">
        <v>307</v>
      </c>
      <c r="D29" s="676"/>
      <c r="E29" s="233"/>
      <c r="F29" s="105">
        <f>SUM(F22:F28)</f>
        <v>14441108</v>
      </c>
      <c r="G29" s="105">
        <f>SUM(G22:G28)</f>
        <v>14821608</v>
      </c>
    </row>
    <row r="30" spans="1:7" ht="15">
      <c r="A30" s="72"/>
      <c r="B30" s="668" t="s">
        <v>229</v>
      </c>
      <c r="C30" s="668"/>
      <c r="D30" s="668"/>
      <c r="E30" s="238"/>
      <c r="F30" s="457">
        <f>+F20+F29</f>
        <v>63679748</v>
      </c>
      <c r="G30" s="458">
        <f>+G20+G29+1</f>
        <v>58215972</v>
      </c>
    </row>
    <row r="31" spans="2:7" ht="17.25">
      <c r="B31" s="669" t="s">
        <v>230</v>
      </c>
      <c r="C31" s="669"/>
      <c r="D31" s="669"/>
      <c r="E31" s="240"/>
      <c r="F31" s="251"/>
      <c r="G31" s="252"/>
    </row>
    <row r="32" spans="1:7" ht="12.75">
      <c r="A32" s="72"/>
      <c r="B32" s="93" t="s">
        <v>231</v>
      </c>
      <c r="C32" s="48"/>
      <c r="D32" s="48"/>
      <c r="E32" s="233"/>
      <c r="F32" s="92">
        <v>-1</v>
      </c>
      <c r="G32" s="94"/>
    </row>
    <row r="33" spans="1:7" ht="15">
      <c r="A33" s="72"/>
      <c r="B33" s="48"/>
      <c r="C33" s="670" t="s">
        <v>110</v>
      </c>
      <c r="D33" s="670"/>
      <c r="E33" s="253">
        <v>13</v>
      </c>
      <c r="F33" s="69">
        <f>'Nota 13'!D18</f>
        <v>2418072</v>
      </c>
      <c r="G33" s="94">
        <f>'Nota 13'!E18</f>
        <v>340596</v>
      </c>
    </row>
    <row r="34" spans="1:7" ht="15">
      <c r="A34" s="72"/>
      <c r="B34" s="48"/>
      <c r="C34" s="674" t="s">
        <v>233</v>
      </c>
      <c r="D34" s="674"/>
      <c r="E34" s="253">
        <v>14</v>
      </c>
      <c r="F34" s="69">
        <f>'Nota 14'!E117</f>
        <v>19233195</v>
      </c>
      <c r="G34" s="94">
        <f>'Nota 14'!K117</f>
        <v>16836144</v>
      </c>
    </row>
    <row r="35" spans="1:7" ht="15">
      <c r="A35" s="72"/>
      <c r="B35" s="48"/>
      <c r="C35" s="670" t="s">
        <v>130</v>
      </c>
      <c r="D35" s="670"/>
      <c r="E35" s="253">
        <v>15</v>
      </c>
      <c r="F35" s="69">
        <f>'Nota 15'!B15</f>
        <v>0</v>
      </c>
      <c r="G35" s="94">
        <f>'Nota 15'!C15</f>
        <v>0</v>
      </c>
    </row>
    <row r="36" spans="1:7" ht="15">
      <c r="A36" s="72"/>
      <c r="B36" s="48"/>
      <c r="C36" s="670" t="s">
        <v>67</v>
      </c>
      <c r="D36" s="670"/>
      <c r="E36" s="253">
        <v>16</v>
      </c>
      <c r="F36" s="69">
        <f>'Nota 16'!B13</f>
        <v>48878</v>
      </c>
      <c r="G36" s="94">
        <f>'Nota 16'!C13</f>
        <v>53612</v>
      </c>
    </row>
    <row r="37" spans="1:7" ht="15">
      <c r="A37" s="72"/>
      <c r="B37" s="48"/>
      <c r="C37" s="670" t="s">
        <v>68</v>
      </c>
      <c r="D37" s="670"/>
      <c r="E37" s="253">
        <v>17</v>
      </c>
      <c r="F37" s="69">
        <f>'Nota 17'!B15</f>
        <v>32656</v>
      </c>
      <c r="G37" s="94">
        <f>'Nota 17'!C15</f>
        <v>324756</v>
      </c>
    </row>
    <row r="38" spans="1:7" ht="13.5" customHeight="1">
      <c r="A38" s="72"/>
      <c r="B38" s="48"/>
      <c r="C38" s="670" t="s">
        <v>69</v>
      </c>
      <c r="D38" s="670"/>
      <c r="E38" s="253">
        <v>18</v>
      </c>
      <c r="F38" s="69">
        <f>'Nota 18'!B13</f>
        <v>0</v>
      </c>
      <c r="G38" s="94">
        <f>'Nota 18'!C13</f>
        <v>0</v>
      </c>
    </row>
    <row r="39" spans="1:7" ht="15">
      <c r="A39" s="72"/>
      <c r="B39" s="48"/>
      <c r="C39" s="670" t="s">
        <v>234</v>
      </c>
      <c r="D39" s="670"/>
      <c r="E39" s="253">
        <v>19</v>
      </c>
      <c r="F39" s="69">
        <f>'Nota 19'!B17</f>
        <v>0</v>
      </c>
      <c r="G39" s="94">
        <f>'Nota 19'!C17</f>
        <v>0</v>
      </c>
    </row>
    <row r="40" spans="1:7" ht="12.75">
      <c r="A40" s="72"/>
      <c r="B40" s="48"/>
      <c r="C40" s="93" t="s">
        <v>232</v>
      </c>
      <c r="D40" s="48"/>
      <c r="E40" s="233"/>
      <c r="F40" s="105">
        <f>+F33+F34+F35+F36+F37+F39-1</f>
        <v>21732800</v>
      </c>
      <c r="G40" s="105">
        <f>+G33+G34+G35+G36+G37+G39</f>
        <v>17555108</v>
      </c>
    </row>
    <row r="41" spans="1:7" ht="12.75">
      <c r="A41" s="72"/>
      <c r="B41" s="93" t="s">
        <v>235</v>
      </c>
      <c r="C41" s="48"/>
      <c r="D41" s="48"/>
      <c r="E41" s="233"/>
      <c r="F41" s="48"/>
      <c r="G41" s="48"/>
    </row>
    <row r="42" spans="1:7" ht="15">
      <c r="A42" s="72"/>
      <c r="B42" s="93"/>
      <c r="C42" s="670" t="s">
        <v>110</v>
      </c>
      <c r="D42" s="670"/>
      <c r="E42" s="253">
        <v>13</v>
      </c>
      <c r="F42" s="602">
        <f>+'Nota 13'!D27</f>
        <v>64191</v>
      </c>
      <c r="G42" s="602">
        <f>+'Nota 13'!E27</f>
        <v>204973</v>
      </c>
    </row>
    <row r="43" spans="1:7" ht="15">
      <c r="A43" s="72"/>
      <c r="B43" s="48"/>
      <c r="C43" s="670" t="s">
        <v>236</v>
      </c>
      <c r="D43" s="670"/>
      <c r="E43" s="253">
        <v>14</v>
      </c>
      <c r="F43" s="69">
        <f>+'Nota 14'!E206</f>
        <v>4388979</v>
      </c>
      <c r="G43" s="94">
        <f>+'Nota 14'!K206</f>
        <v>6222726</v>
      </c>
    </row>
    <row r="44" spans="1:7" ht="6" customHeight="1">
      <c r="A44" s="72"/>
      <c r="B44" s="48"/>
      <c r="C44" s="670" t="s">
        <v>342</v>
      </c>
      <c r="D44" s="670"/>
      <c r="E44" s="253">
        <v>19</v>
      </c>
      <c r="F44" s="69">
        <f>'Nota 19'!F17</f>
        <v>0</v>
      </c>
      <c r="G44" s="94">
        <f>'Nota 19'!G17</f>
        <v>0</v>
      </c>
    </row>
    <row r="45" spans="1:7" ht="12.75">
      <c r="A45" s="72"/>
      <c r="B45" s="48"/>
      <c r="C45" s="93" t="s">
        <v>317</v>
      </c>
      <c r="D45" s="48"/>
      <c r="E45" s="233"/>
      <c r="F45" s="105">
        <f>SUM(F42:F44)</f>
        <v>4453170</v>
      </c>
      <c r="G45" s="105">
        <f>SUM(G42:G44)</f>
        <v>6427699</v>
      </c>
    </row>
    <row r="46" spans="1:7" ht="12.75">
      <c r="A46" s="72"/>
      <c r="B46" s="48"/>
      <c r="C46" s="48"/>
      <c r="D46" s="106"/>
      <c r="E46" s="239"/>
      <c r="F46" s="106"/>
      <c r="G46" s="94"/>
    </row>
    <row r="47" spans="1:7" ht="15">
      <c r="A47" s="72"/>
      <c r="B47" s="669" t="s">
        <v>392</v>
      </c>
      <c r="C47" s="669"/>
      <c r="D47" s="669"/>
      <c r="E47" s="241"/>
      <c r="F47" s="457">
        <f>+F40+F45</f>
        <v>26185970</v>
      </c>
      <c r="G47" s="457">
        <f>+G40+G45</f>
        <v>23982807</v>
      </c>
    </row>
    <row r="48" spans="2:7" ht="15">
      <c r="B48" s="669" t="s">
        <v>41</v>
      </c>
      <c r="C48" s="669"/>
      <c r="D48" s="669"/>
      <c r="E48" s="240"/>
      <c r="F48"/>
      <c r="G48"/>
    </row>
    <row r="49" spans="1:7" ht="15">
      <c r="A49" s="72"/>
      <c r="B49" s="48"/>
      <c r="C49" s="670" t="s">
        <v>238</v>
      </c>
      <c r="D49" s="670"/>
      <c r="E49" s="253">
        <v>20</v>
      </c>
      <c r="F49" s="69">
        <f>'Nota 20'!B11</f>
        <v>20000000</v>
      </c>
      <c r="G49" s="69">
        <f>'Nota 20'!C11</f>
        <v>20000000</v>
      </c>
    </row>
    <row r="50" spans="1:7" ht="15">
      <c r="A50" s="72"/>
      <c r="B50" s="48"/>
      <c r="C50" s="670" t="s">
        <v>43</v>
      </c>
      <c r="D50" s="670"/>
      <c r="E50" s="234">
        <v>21</v>
      </c>
      <c r="F50" s="69">
        <f>' Nota 21'!B8</f>
        <v>6300015</v>
      </c>
      <c r="G50" s="69">
        <f>' Nota 21'!C8</f>
        <v>6300015</v>
      </c>
    </row>
    <row r="51" spans="1:7" ht="15">
      <c r="A51" s="90"/>
      <c r="B51" s="48"/>
      <c r="C51" s="670" t="s">
        <v>81</v>
      </c>
      <c r="D51" s="670"/>
      <c r="E51" s="234">
        <v>21</v>
      </c>
      <c r="F51" s="69">
        <f>' Nota 21'!B12</f>
        <v>1695044</v>
      </c>
      <c r="G51" s="69">
        <f>' Nota 21'!C12</f>
        <v>1524514</v>
      </c>
    </row>
    <row r="52" spans="1:7" ht="15">
      <c r="A52" s="72"/>
      <c r="B52" s="48"/>
      <c r="C52" s="670" t="s">
        <v>239</v>
      </c>
      <c r="D52" s="670"/>
      <c r="E52" s="234">
        <v>21</v>
      </c>
      <c r="F52" s="69">
        <f>' Nota 21'!B16</f>
        <v>0</v>
      </c>
      <c r="G52" s="69">
        <f>' Nota 21'!C16</f>
        <v>0</v>
      </c>
    </row>
    <row r="53" spans="1:7" ht="15">
      <c r="A53" s="72"/>
      <c r="B53" s="48"/>
      <c r="C53" s="670" t="s">
        <v>240</v>
      </c>
      <c r="D53" s="670"/>
      <c r="E53" s="234">
        <v>21</v>
      </c>
      <c r="F53" s="69">
        <f>' Nota 21'!B20</f>
        <v>1882449</v>
      </c>
      <c r="G53" s="69">
        <f>' Nota 21'!C20</f>
        <v>0</v>
      </c>
    </row>
    <row r="54" spans="1:7" ht="15">
      <c r="A54" s="72"/>
      <c r="B54" s="48"/>
      <c r="C54" s="670" t="s">
        <v>70</v>
      </c>
      <c r="D54" s="670"/>
      <c r="E54" s="253">
        <v>22</v>
      </c>
      <c r="F54" s="69">
        <f>'Nota 22'!B8</f>
        <v>0</v>
      </c>
      <c r="G54" s="69">
        <f>'Nota 22'!C8</f>
        <v>0</v>
      </c>
    </row>
    <row r="55" spans="1:7" ht="15">
      <c r="A55" s="72"/>
      <c r="B55" s="48"/>
      <c r="C55" s="670" t="s">
        <v>44</v>
      </c>
      <c r="D55" s="670"/>
      <c r="E55" s="253">
        <v>23</v>
      </c>
      <c r="F55" s="69">
        <f>'Nota 23'!B10</f>
        <v>7616268</v>
      </c>
      <c r="G55" s="69">
        <f>'Nota 23'!C10</f>
        <v>6408641</v>
      </c>
    </row>
    <row r="56" spans="1:7" ht="12.75">
      <c r="A56" s="72"/>
      <c r="B56" s="48"/>
      <c r="C56" s="675" t="s">
        <v>62</v>
      </c>
      <c r="D56" s="675"/>
      <c r="E56" s="233"/>
      <c r="F56" s="69">
        <f>SUM(F49:F55)</f>
        <v>37493776</v>
      </c>
      <c r="G56" s="69">
        <f>SUM(G49:G55)</f>
        <v>34233170</v>
      </c>
    </row>
    <row r="57" spans="1:7" ht="15">
      <c r="A57" s="72"/>
      <c r="B57" s="48"/>
      <c r="C57" s="670" t="s">
        <v>71</v>
      </c>
      <c r="D57" s="670"/>
      <c r="E57" s="253">
        <v>24</v>
      </c>
      <c r="F57" s="69">
        <f>'Nota 24'!B8</f>
        <v>0</v>
      </c>
      <c r="G57" s="69">
        <f>'Nota 24'!C8</f>
        <v>0</v>
      </c>
    </row>
    <row r="58" spans="1:7" ht="15">
      <c r="A58" s="72"/>
      <c r="B58" s="669" t="s">
        <v>241</v>
      </c>
      <c r="C58" s="669"/>
      <c r="D58" s="669"/>
      <c r="E58" s="241"/>
      <c r="F58" s="459">
        <f>F56</f>
        <v>37493776</v>
      </c>
      <c r="G58" s="459">
        <f>G56</f>
        <v>34233170</v>
      </c>
    </row>
    <row r="59" spans="1:7" ht="15">
      <c r="A59" s="72"/>
      <c r="B59" s="669" t="s">
        <v>242</v>
      </c>
      <c r="C59" s="669"/>
      <c r="D59" s="669"/>
      <c r="E59" s="242"/>
      <c r="F59" s="459">
        <f>+F47+F58+2</f>
        <v>63679748</v>
      </c>
      <c r="G59" s="459">
        <f>+G47+G58-5</f>
        <v>58215972</v>
      </c>
    </row>
    <row r="60" spans="1:7" ht="12.75">
      <c r="A60" s="72"/>
      <c r="B60" s="93"/>
      <c r="C60" s="48"/>
      <c r="D60" s="48"/>
      <c r="E60" s="233"/>
      <c r="F60" s="108"/>
      <c r="G60" s="106"/>
    </row>
    <row r="61" spans="2:7" ht="12">
      <c r="B61" s="72" t="s">
        <v>389</v>
      </c>
      <c r="C61" s="72"/>
      <c r="D61" s="72"/>
      <c r="E61" s="243"/>
      <c r="F61" s="72"/>
      <c r="G61" s="72"/>
    </row>
    <row r="62" spans="1:7" ht="12">
      <c r="A62" s="72"/>
      <c r="B62" s="89"/>
      <c r="C62" s="72"/>
      <c r="D62" s="72"/>
      <c r="E62" s="243"/>
      <c r="F62" s="72"/>
      <c r="G62" s="91"/>
    </row>
    <row r="63" spans="1:7" ht="12">
      <c r="A63" s="72"/>
      <c r="B63" s="89"/>
      <c r="C63" s="72"/>
      <c r="D63" s="72"/>
      <c r="E63" s="243"/>
      <c r="F63" s="72"/>
      <c r="G63" s="91"/>
    </row>
    <row r="64" spans="1:7" s="104" customFormat="1" ht="15">
      <c r="A64" s="72"/>
      <c r="B64" s="89"/>
      <c r="C64" s="72"/>
      <c r="D64" s="72"/>
      <c r="E64" s="243"/>
      <c r="F64" s="72"/>
      <c r="G64" s="91"/>
    </row>
    <row r="65" spans="1:7" s="104" customFormat="1" ht="15">
      <c r="A65" s="72"/>
      <c r="B65" s="72"/>
      <c r="C65" s="72"/>
      <c r="D65" s="72"/>
      <c r="E65" s="243"/>
      <c r="F65" s="72"/>
      <c r="G65" s="72"/>
    </row>
    <row r="66" spans="1:7" s="104" customFormat="1" ht="15">
      <c r="A66" s="120"/>
      <c r="B66" s="121"/>
      <c r="C66" s="121"/>
      <c r="D66" s="121"/>
      <c r="E66" s="244"/>
      <c r="F66" s="666"/>
      <c r="G66" s="666"/>
    </row>
    <row r="67" spans="2:7" s="104" customFormat="1" ht="15.75">
      <c r="B67" s="122"/>
      <c r="C67" s="122"/>
      <c r="D67" s="131"/>
      <c r="E67" s="245"/>
      <c r="F67" s="671"/>
      <c r="G67" s="671"/>
    </row>
    <row r="68" spans="1:7" s="104" customFormat="1" ht="15.75">
      <c r="A68" s="120"/>
      <c r="B68" s="120"/>
      <c r="C68" s="120"/>
      <c r="D68" s="103"/>
      <c r="E68" s="246"/>
      <c r="F68" s="103"/>
      <c r="G68" s="120"/>
    </row>
    <row r="69" spans="1:7" s="104" customFormat="1" ht="15.75">
      <c r="A69" s="120"/>
      <c r="B69" s="120"/>
      <c r="C69" s="120"/>
      <c r="D69" s="103"/>
      <c r="E69" s="246"/>
      <c r="F69" s="103"/>
      <c r="G69" s="120"/>
    </row>
    <row r="70" spans="1:7" s="104" customFormat="1" ht="15.75">
      <c r="A70" s="120"/>
      <c r="B70" s="120"/>
      <c r="C70" s="120"/>
      <c r="D70" s="103"/>
      <c r="E70" s="246"/>
      <c r="F70" s="103"/>
      <c r="G70" s="120"/>
    </row>
    <row r="71" spans="1:7" s="103" customFormat="1" ht="15.75">
      <c r="A71" s="123"/>
      <c r="B71" s="123"/>
      <c r="C71" s="123"/>
      <c r="D71" s="123"/>
      <c r="E71" s="247"/>
      <c r="F71" s="666"/>
      <c r="G71" s="666"/>
    </row>
    <row r="72" spans="1:7" ht="15.75">
      <c r="A72" s="104"/>
      <c r="B72" s="124"/>
      <c r="C72" s="124"/>
      <c r="D72" s="124"/>
      <c r="E72" s="246"/>
      <c r="F72" s="671"/>
      <c r="G72" s="671"/>
    </row>
    <row r="73" spans="1:7" ht="15.75">
      <c r="A73" s="103"/>
      <c r="B73" s="672"/>
      <c r="C73" s="672"/>
      <c r="D73" s="672"/>
      <c r="E73" s="246"/>
      <c r="F73" s="103"/>
      <c r="G73" s="103"/>
    </row>
    <row r="74" spans="1:7" ht="12.75">
      <c r="A74" s="48"/>
      <c r="B74" s="48"/>
      <c r="C74" s="94"/>
      <c r="D74" s="95"/>
      <c r="E74" s="233"/>
      <c r="F74" s="95"/>
      <c r="G74" s="48"/>
    </row>
    <row r="75" spans="3:6" ht="11.25">
      <c r="C75" s="62"/>
      <c r="D75" s="60"/>
      <c r="E75" s="248"/>
      <c r="F75" s="60"/>
    </row>
    <row r="76" spans="4:6" ht="11.25">
      <c r="D76" s="61"/>
      <c r="E76" s="249"/>
      <c r="F76" s="61"/>
    </row>
    <row r="77" spans="4:6" ht="11.25">
      <c r="D77" s="61"/>
      <c r="E77" s="249"/>
      <c r="F77" s="61"/>
    </row>
    <row r="78" spans="4:6" ht="11.25">
      <c r="D78" s="61"/>
      <c r="E78" s="249"/>
      <c r="F78" s="61"/>
    </row>
    <row r="79" spans="4:6" ht="11.25">
      <c r="D79" s="61"/>
      <c r="E79" s="249"/>
      <c r="F79" s="61"/>
    </row>
    <row r="80" spans="4:6" ht="11.25">
      <c r="D80" s="61"/>
      <c r="E80" s="249"/>
      <c r="F80" s="61"/>
    </row>
    <row r="81" ht="11.25">
      <c r="E81" s="250"/>
    </row>
    <row r="82" spans="3:5" ht="11.25">
      <c r="C82" s="63"/>
      <c r="E82" s="250"/>
    </row>
    <row r="83" spans="3:6" ht="11.25">
      <c r="C83" s="62"/>
      <c r="D83" s="60"/>
      <c r="E83" s="248"/>
      <c r="F83" s="60"/>
    </row>
    <row r="84" spans="4:6" ht="11.25">
      <c r="D84" s="60"/>
      <c r="E84" s="102"/>
      <c r="F84" s="60"/>
    </row>
  </sheetData>
  <sheetProtection/>
  <mergeCells count="47">
    <mergeCell ref="C15:D15"/>
    <mergeCell ref="C16:D16"/>
    <mergeCell ref="C17:D17"/>
    <mergeCell ref="C18:D18"/>
    <mergeCell ref="C19:D19"/>
    <mergeCell ref="C28:D28"/>
    <mergeCell ref="C25:D25"/>
    <mergeCell ref="C24:D24"/>
    <mergeCell ref="C53:D53"/>
    <mergeCell ref="C54:D54"/>
    <mergeCell ref="F67:G67"/>
    <mergeCell ref="C33:D33"/>
    <mergeCell ref="C35:D35"/>
    <mergeCell ref="C36:D36"/>
    <mergeCell ref="C42:D42"/>
    <mergeCell ref="C37:D37"/>
    <mergeCell ref="C38:D38"/>
    <mergeCell ref="A7:G7"/>
    <mergeCell ref="F66:G66"/>
    <mergeCell ref="C55:D55"/>
    <mergeCell ref="C56:D56"/>
    <mergeCell ref="C29:D29"/>
    <mergeCell ref="C26:D26"/>
    <mergeCell ref="C27:D27"/>
    <mergeCell ref="C22:D22"/>
    <mergeCell ref="C57:D57"/>
    <mergeCell ref="A8:G8"/>
    <mergeCell ref="F72:G72"/>
    <mergeCell ref="B73:D73"/>
    <mergeCell ref="B13:D13"/>
    <mergeCell ref="B31:D31"/>
    <mergeCell ref="B48:D48"/>
    <mergeCell ref="B47:D47"/>
    <mergeCell ref="B58:D58"/>
    <mergeCell ref="C50:D50"/>
    <mergeCell ref="C34:D34"/>
    <mergeCell ref="C52:D52"/>
    <mergeCell ref="A9:G9"/>
    <mergeCell ref="F71:G71"/>
    <mergeCell ref="A10:G10"/>
    <mergeCell ref="B30:D30"/>
    <mergeCell ref="B59:D59"/>
    <mergeCell ref="C39:D39"/>
    <mergeCell ref="C43:D43"/>
    <mergeCell ref="C44:D44"/>
    <mergeCell ref="C49:D49"/>
    <mergeCell ref="C51:D51"/>
  </mergeCells>
  <hyperlinks>
    <hyperlink ref="E15" location="'Nota 3'!A1" display="'Nota 3'!A1"/>
    <hyperlink ref="E16" location="'Nota 4'!A1" display="'Nota 4'!A1"/>
    <hyperlink ref="E17" location="'Nota 5'!A1" display="'Nota 5'!A1"/>
    <hyperlink ref="E18" location="'Nota 6'!A1" display="'Nota 6'!A1"/>
    <hyperlink ref="E19" location="'Nota 7'!A1" display="'Nota 7'!A1"/>
    <hyperlink ref="E22" location="'Nota 6'!A1" display="'Nota 6'!A1"/>
    <hyperlink ref="E24" location="'Nota 8'!A1" display="'Nota 8'!A1"/>
    <hyperlink ref="E25" location="'Nota 9'!A1" display="'Nota 9'!A1"/>
    <hyperlink ref="E26" location="'Nota 10'!A1" display="'Nota 10'!A1"/>
    <hyperlink ref="E27" location="'Nota 11'!A1" display="'Nota 11'!A1"/>
    <hyperlink ref="E28" location="'Nota 12'!A1" display="'Nota 12'!A1"/>
    <hyperlink ref="E33" location="'Nota 13'!A1" display="'Nota 13'!A1"/>
    <hyperlink ref="E34" location="'Nota 14'!A1" display="'Nota 14'!A1"/>
    <hyperlink ref="E43" location="'Nota 14'!A1" display="'Nota 14'!A1"/>
    <hyperlink ref="E35" location="'Nota 15'!A1" display="'Nota 15'!A1"/>
    <hyperlink ref="E36" location="'Nota 16'!A1" display="'Nota 16'!A1"/>
    <hyperlink ref="E37" location="'Nota 17'!A1" display="'Nota 17'!A1"/>
    <hyperlink ref="E38" location="'Nota 18'!A1" display="'Nota 18'!A1"/>
    <hyperlink ref="E39" location="'Nota 19'!A1" display="'Nota 19'!A1"/>
    <hyperlink ref="E44" location="'Nota 19'!A1" display="'Nota 19'!A1"/>
    <hyperlink ref="E49" location="'Nota 20'!A1" display="'Nota 20'!A1"/>
    <hyperlink ref="E54" location="'Nota 22'!A1" display="'Nota 22'!A1"/>
    <hyperlink ref="E50" location="' Nota 21'!A1" display="' Nota 21'!A1"/>
    <hyperlink ref="E51" location="' Nota 21'!A1" display="' Nota 21'!A1"/>
    <hyperlink ref="E52" location="' Nota 21'!A1" display="' Nota 21'!A1"/>
    <hyperlink ref="E53" location="' Nota 21'!A1" display="' Nota 21'!A1"/>
    <hyperlink ref="E55" location="'Nota 23'!A1" display="'Nota 23'!A1"/>
    <hyperlink ref="E57" location="'Nota 24'!A1" display="'Nota 24'!A1"/>
    <hyperlink ref="E1" location="Indice!A1" display="Indice"/>
    <hyperlink ref="E23" location="'Nota 5'!A1" display="'Nota 5'!A1"/>
    <hyperlink ref="E42" location="'Nota 13'!A1" display="'Nota 13'!A1"/>
  </hyperlinks>
  <printOptions horizontalCentered="1"/>
  <pageMargins left="0.7086614173228347" right="0.7086614173228347" top="0.7480314960629921" bottom="0.7480314960629921" header="0.31496062992125984" footer="0.31496062992125984"/>
  <pageSetup horizontalDpi="1200" verticalDpi="1200" orientation="portrait" paperSize="9" scale="70" r:id="rId1"/>
  <ignoredErrors>
    <ignoredError sqref="G29" formulaRange="1"/>
  </ignoredErrors>
</worksheet>
</file>

<file path=xl/worksheets/sheet30.xml><?xml version="1.0" encoding="utf-8"?>
<worksheet xmlns="http://schemas.openxmlformats.org/spreadsheetml/2006/main" xmlns:r="http://schemas.openxmlformats.org/officeDocument/2006/relationships">
  <sheetPr codeName="Hoja29"/>
  <dimension ref="A1:F8"/>
  <sheetViews>
    <sheetView zoomScalePageLayoutView="0" workbookViewId="0" topLeftCell="A1">
      <selection activeCell="B8" sqref="B8"/>
    </sheetView>
  </sheetViews>
  <sheetFormatPr defaultColWidth="11.421875" defaultRowHeight="15"/>
  <cols>
    <col min="1" max="1" width="40.7109375" style="34" customWidth="1"/>
    <col min="2" max="3" width="19.00390625" style="34" customWidth="1"/>
    <col min="4" max="6" width="11.421875" style="34" customWidth="1"/>
    <col min="7" max="34" width="11.421875" style="154" customWidth="1"/>
  </cols>
  <sheetData>
    <row r="1" spans="1:6" ht="15">
      <c r="A1" s="34" t="str">
        <f>Indice!C1</f>
        <v>IMPORT CENTER S.A.</v>
      </c>
      <c r="F1" s="181" t="s">
        <v>129</v>
      </c>
    </row>
    <row r="4" spans="1:6" ht="15">
      <c r="A4" s="337" t="s">
        <v>322</v>
      </c>
      <c r="B4" s="337"/>
      <c r="C4" s="337"/>
      <c r="D4" s="337"/>
      <c r="E4" s="278"/>
      <c r="F4" s="279"/>
    </row>
    <row r="6" spans="2:3" ht="15">
      <c r="B6" s="739" t="s">
        <v>293</v>
      </c>
      <c r="C6" s="739"/>
    </row>
    <row r="7" spans="1:3" ht="15">
      <c r="A7" s="182"/>
      <c r="B7" s="427">
        <f>_xlfn.IFERROR(IF(Indice!B6="","2XX2",YEAR(Indice!B6)),"2XX2")</f>
        <v>2021</v>
      </c>
      <c r="C7" s="427">
        <f>+_xlfn.IFERROR(YEAR(Indice!B6-365),"2XX1")</f>
        <v>2020</v>
      </c>
    </row>
    <row r="8" ht="15">
      <c r="A8" s="34" t="s">
        <v>83</v>
      </c>
    </row>
  </sheetData>
  <sheetProtection/>
  <mergeCells count="1">
    <mergeCell ref="B6:C6"/>
  </mergeCells>
  <hyperlinks>
    <hyperlink ref="F1" location="BG!A1" display="BG"/>
  </hyperlink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codeName="Hoja30"/>
  <dimension ref="A1:AG28"/>
  <sheetViews>
    <sheetView showGridLines="0" zoomScalePageLayoutView="0" workbookViewId="0" topLeftCell="A1">
      <selection activeCell="C1" sqref="C1"/>
    </sheetView>
  </sheetViews>
  <sheetFormatPr defaultColWidth="11.421875" defaultRowHeight="15"/>
  <cols>
    <col min="1" max="1" width="45.57421875" style="154" customWidth="1"/>
    <col min="2" max="2" width="18.140625" style="154" customWidth="1"/>
    <col min="3" max="3" width="17.140625" style="154" customWidth="1"/>
    <col min="4" max="33" width="11.421875" style="154" customWidth="1"/>
  </cols>
  <sheetData>
    <row r="1" spans="1:5" ht="15">
      <c r="A1" s="154" t="str">
        <f>Indice!C1</f>
        <v>IMPORT CENTER S.A.</v>
      </c>
      <c r="E1" s="177" t="s">
        <v>144</v>
      </c>
    </row>
    <row r="5" spans="1:33" ht="15">
      <c r="A5" s="337" t="s">
        <v>323</v>
      </c>
      <c r="B5" s="337"/>
      <c r="C5" s="337"/>
      <c r="D5" s="337"/>
      <c r="E5" s="337"/>
      <c r="F5" s="337"/>
      <c r="G5" s="34"/>
      <c r="H5" s="34"/>
      <c r="I5" s="34"/>
      <c r="J5" s="34"/>
      <c r="K5" s="34"/>
      <c r="L5" s="34"/>
      <c r="M5" s="34"/>
      <c r="N5" s="34"/>
      <c r="O5" s="34"/>
      <c r="P5" s="34"/>
      <c r="Q5" s="34"/>
      <c r="R5" s="34"/>
      <c r="S5" s="34"/>
      <c r="T5" s="34"/>
      <c r="U5" s="34"/>
      <c r="V5" s="34"/>
      <c r="W5" s="34"/>
      <c r="X5" s="34"/>
      <c r="Y5" s="34"/>
      <c r="Z5" s="34"/>
      <c r="AA5" s="34"/>
      <c r="AB5" s="34"/>
      <c r="AC5" s="34"/>
      <c r="AD5" s="34"/>
      <c r="AE5" s="34"/>
      <c r="AF5" s="34"/>
      <c r="AG5"/>
    </row>
    <row r="8" spans="2:3" ht="15">
      <c r="B8" s="739" t="s">
        <v>293</v>
      </c>
      <c r="C8" s="739"/>
    </row>
    <row r="9" spans="2:33" ht="15">
      <c r="B9" s="427">
        <f>_xlfn.IFERROR(IF(Indice!B6="","2XX2",YEAR(Indice!B6)),"2XX2")</f>
        <v>2021</v>
      </c>
      <c r="C9" s="427">
        <f>+_xlfn.IFERROR(YEAR(Indice!B6-365),"2XX1")</f>
        <v>2020</v>
      </c>
      <c r="D9" s="34"/>
      <c r="E9" s="34"/>
      <c r="F9" s="34"/>
      <c r="G9" s="34"/>
      <c r="H9" s="34"/>
      <c r="I9" s="34"/>
      <c r="J9" s="34"/>
      <c r="K9" s="34"/>
      <c r="L9" s="34"/>
      <c r="M9" s="34"/>
      <c r="N9" s="34"/>
      <c r="O9" s="34"/>
      <c r="P9" s="34"/>
      <c r="Q9" s="34"/>
      <c r="R9" s="34"/>
      <c r="S9" s="34"/>
      <c r="T9" s="34"/>
      <c r="U9" s="34"/>
      <c r="V9" s="34"/>
      <c r="W9" s="34"/>
      <c r="X9" s="34"/>
      <c r="Y9" s="34"/>
      <c r="Z9" s="34"/>
      <c r="AA9" s="34"/>
      <c r="AB9" s="34"/>
      <c r="AC9" s="34"/>
      <c r="AD9" s="34"/>
      <c r="AE9" s="34"/>
      <c r="AF9" s="34"/>
      <c r="AG9"/>
    </row>
    <row r="10" spans="1:32" s="364" customFormat="1" ht="15">
      <c r="A10" s="182" t="s">
        <v>63</v>
      </c>
      <c r="B10" s="286"/>
      <c r="C10" s="286"/>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row>
    <row r="11" spans="1:33" ht="15">
      <c r="A11" s="182" t="s">
        <v>839</v>
      </c>
      <c r="B11" s="67"/>
      <c r="C11" s="67"/>
      <c r="D11" s="34"/>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row>
    <row r="12" spans="1:32" s="364" customFormat="1" ht="15">
      <c r="A12" s="375" t="s">
        <v>841</v>
      </c>
      <c r="B12" s="577"/>
      <c r="C12" s="577"/>
      <c r="D12" s="34"/>
      <c r="E12" s="34"/>
      <c r="F12" s="34"/>
      <c r="G12" s="34"/>
      <c r="H12" s="34"/>
      <c r="I12" s="34"/>
      <c r="J12" s="34"/>
      <c r="K12" s="34"/>
      <c r="L12" s="34"/>
      <c r="M12" s="34"/>
      <c r="N12" s="34"/>
      <c r="O12" s="34"/>
      <c r="P12" s="34"/>
      <c r="Q12" s="34"/>
      <c r="R12" s="34"/>
      <c r="S12" s="34"/>
      <c r="T12" s="34"/>
      <c r="U12" s="34"/>
      <c r="V12" s="34"/>
      <c r="W12" s="34"/>
      <c r="X12" s="34"/>
      <c r="Y12" s="34"/>
      <c r="Z12" s="34"/>
      <c r="AA12" s="34"/>
      <c r="AB12" s="34"/>
      <c r="AC12" s="34"/>
      <c r="AD12" s="34"/>
      <c r="AE12" s="34"/>
      <c r="AF12" s="34"/>
    </row>
    <row r="13" spans="1:32" s="364" customFormat="1" ht="15">
      <c r="A13" s="34" t="s">
        <v>249</v>
      </c>
      <c r="B13" s="577">
        <f>7691013+427372+9954+86219</f>
        <v>8214558</v>
      </c>
      <c r="C13" s="577">
        <f>7339390+769292+1937+88286</f>
        <v>8198905</v>
      </c>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row>
    <row r="14" spans="1:32" s="364" customFormat="1" ht="15">
      <c r="A14" s="364" t="s">
        <v>250</v>
      </c>
      <c r="B14" s="577">
        <f>23307860+5981907+4655+13341</f>
        <v>29307763</v>
      </c>
      <c r="C14" s="577">
        <f>16671050+4068642+8420</f>
        <v>20748112</v>
      </c>
      <c r="D14" s="34"/>
      <c r="E14" s="34"/>
      <c r="F14" s="34"/>
      <c r="G14" s="34"/>
      <c r="H14" s="34"/>
      <c r="I14" s="34"/>
      <c r="J14" s="34"/>
      <c r="K14" s="34"/>
      <c r="L14" s="34"/>
      <c r="M14" s="34"/>
      <c r="N14" s="34"/>
      <c r="O14" s="34"/>
      <c r="P14" s="34"/>
      <c r="Q14" s="34"/>
      <c r="R14" s="34"/>
      <c r="S14" s="34"/>
      <c r="T14" s="34"/>
      <c r="U14" s="34"/>
      <c r="V14" s="34"/>
      <c r="W14" s="34"/>
      <c r="X14" s="34"/>
      <c r="Y14" s="34"/>
      <c r="Z14" s="34"/>
      <c r="AA14" s="34"/>
      <c r="AB14" s="34"/>
      <c r="AC14" s="34"/>
      <c r="AD14" s="34"/>
      <c r="AE14" s="34"/>
      <c r="AF14" s="34"/>
    </row>
    <row r="15" spans="1:32" s="364" customFormat="1" ht="15">
      <c r="A15" s="375" t="s">
        <v>842</v>
      </c>
      <c r="B15" s="34"/>
      <c r="C15" s="34"/>
      <c r="D15" s="34"/>
      <c r="E15" s="34"/>
      <c r="F15" s="34"/>
      <c r="G15" s="34"/>
      <c r="H15" s="34"/>
      <c r="I15" s="34"/>
      <c r="J15" s="34"/>
      <c r="K15" s="34"/>
      <c r="L15" s="34"/>
      <c r="M15" s="34"/>
      <c r="N15" s="34"/>
      <c r="O15" s="34"/>
      <c r="P15" s="34"/>
      <c r="Q15" s="34"/>
      <c r="R15" s="34"/>
      <c r="S15" s="34"/>
      <c r="T15" s="34"/>
      <c r="U15" s="34"/>
      <c r="V15" s="34"/>
      <c r="W15" s="34"/>
      <c r="X15" s="34"/>
      <c r="Y15" s="34"/>
      <c r="Z15" s="34"/>
      <c r="AA15" s="34"/>
      <c r="AB15" s="34"/>
      <c r="AC15" s="34"/>
      <c r="AD15" s="34"/>
      <c r="AE15" s="34"/>
      <c r="AF15" s="34"/>
    </row>
    <row r="16" spans="1:32" s="364" customFormat="1" ht="15">
      <c r="A16" s="34" t="s">
        <v>249</v>
      </c>
      <c r="B16" s="34"/>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row>
    <row r="17" spans="1:32" s="364" customFormat="1" ht="15">
      <c r="A17" s="364" t="s">
        <v>250</v>
      </c>
      <c r="B17" s="34"/>
      <c r="C17" s="34"/>
      <c r="D17" s="34"/>
      <c r="E17" s="34"/>
      <c r="F17" s="34"/>
      <c r="G17" s="34"/>
      <c r="H17" s="34"/>
      <c r="I17" s="34"/>
      <c r="J17" s="34"/>
      <c r="K17" s="34"/>
      <c r="L17" s="34"/>
      <c r="M17" s="34"/>
      <c r="N17" s="34"/>
      <c r="O17" s="34"/>
      <c r="P17" s="34"/>
      <c r="Q17" s="34"/>
      <c r="R17" s="34"/>
      <c r="S17" s="34"/>
      <c r="T17" s="34"/>
      <c r="U17" s="34"/>
      <c r="V17" s="34"/>
      <c r="W17" s="34"/>
      <c r="X17" s="34"/>
      <c r="Y17" s="34"/>
      <c r="Z17" s="34"/>
      <c r="AA17" s="34"/>
      <c r="AB17" s="34"/>
      <c r="AC17" s="34"/>
      <c r="AD17" s="34"/>
      <c r="AE17" s="34"/>
      <c r="AF17" s="34"/>
    </row>
    <row r="18" spans="1:32" s="364" customFormat="1" ht="15">
      <c r="A18" s="182" t="s">
        <v>840</v>
      </c>
      <c r="B18" s="34"/>
      <c r="C18" s="34"/>
      <c r="D18" s="34"/>
      <c r="E18" s="34"/>
      <c r="F18" s="34"/>
      <c r="G18" s="34"/>
      <c r="H18" s="34"/>
      <c r="I18" s="34"/>
      <c r="J18" s="34"/>
      <c r="K18" s="34"/>
      <c r="L18" s="34"/>
      <c r="M18" s="34"/>
      <c r="N18" s="34"/>
      <c r="O18" s="34"/>
      <c r="P18" s="34"/>
      <c r="Q18" s="34"/>
      <c r="R18" s="34"/>
      <c r="S18" s="34"/>
      <c r="T18" s="34"/>
      <c r="U18" s="34"/>
      <c r="V18" s="34"/>
      <c r="W18" s="34"/>
      <c r="X18" s="34"/>
      <c r="Y18" s="34"/>
      <c r="Z18" s="34"/>
      <c r="AA18" s="34"/>
      <c r="AB18" s="34"/>
      <c r="AC18" s="34"/>
      <c r="AD18" s="34"/>
      <c r="AE18" s="34"/>
      <c r="AF18" s="34"/>
    </row>
    <row r="19" spans="1:32" s="364" customFormat="1" ht="15">
      <c r="A19" s="375" t="s">
        <v>841</v>
      </c>
      <c r="B19" s="34"/>
      <c r="C19" s="34"/>
      <c r="D19" s="34"/>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row>
    <row r="20" spans="1:32" s="364" customFormat="1" ht="15">
      <c r="A20" s="34" t="s">
        <v>249</v>
      </c>
      <c r="B20" s="34"/>
      <c r="C20" s="34"/>
      <c r="D20" s="34"/>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row>
    <row r="21" spans="1:32" s="364" customFormat="1" ht="15">
      <c r="A21" s="364" t="s">
        <v>250</v>
      </c>
      <c r="B21" s="34"/>
      <c r="C21" s="34"/>
      <c r="D21" s="34"/>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row>
    <row r="22" spans="1:32" s="364" customFormat="1" ht="15">
      <c r="A22" s="375" t="s">
        <v>842</v>
      </c>
      <c r="B22" s="34"/>
      <c r="C22" s="34"/>
      <c r="D22" s="34"/>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row>
    <row r="23" spans="1:32" s="364" customFormat="1" ht="15">
      <c r="A23" s="34" t="s">
        <v>249</v>
      </c>
      <c r="B23" s="34"/>
      <c r="C23" s="34"/>
      <c r="D23" s="34"/>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row>
    <row r="24" spans="1:32" s="364" customFormat="1" ht="15">
      <c r="A24" s="364" t="s">
        <v>250</v>
      </c>
      <c r="B24" s="34"/>
      <c r="C24" s="34"/>
      <c r="D24" s="34"/>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row>
    <row r="25" spans="1:32" s="560" customFormat="1" ht="15">
      <c r="A25" s="603" t="s">
        <v>973</v>
      </c>
      <c r="B25" s="577">
        <v>-245850</v>
      </c>
      <c r="C25" s="577">
        <v>-258776</v>
      </c>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row>
    <row r="26" spans="1:32" s="364" customFormat="1" ht="15">
      <c r="A26" s="376" t="s">
        <v>843</v>
      </c>
      <c r="B26" s="34"/>
      <c r="C26" s="34"/>
      <c r="D26" s="34"/>
      <c r="E26" s="34"/>
      <c r="F26" s="34"/>
      <c r="G26" s="34"/>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row>
    <row r="27" spans="1:33" ht="15">
      <c r="A27" s="182" t="s">
        <v>3</v>
      </c>
      <c r="B27" s="280">
        <f>SUM(B13:B26)+2</f>
        <v>37276473</v>
      </c>
      <c r="C27" s="280">
        <f>SUM(C13:C26)</f>
        <v>28688241</v>
      </c>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row>
    <row r="28" spans="1:33" ht="15">
      <c r="A28" s="34"/>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row>
  </sheetData>
  <sheetProtection/>
  <mergeCells count="1">
    <mergeCell ref="B8:C8"/>
  </mergeCells>
  <hyperlinks>
    <hyperlink ref="E1" location="ER!A1" display="ER"/>
  </hyperlinks>
  <printOptions/>
  <pageMargins left="0.7" right="0.7" top="0.75" bottom="0.75" header="0.3" footer="0.3"/>
  <pageSetup horizontalDpi="600" verticalDpi="600" orientation="portrait" r:id="rId1"/>
</worksheet>
</file>

<file path=xl/worksheets/sheet32.xml><?xml version="1.0" encoding="utf-8"?>
<worksheet xmlns="http://schemas.openxmlformats.org/spreadsheetml/2006/main" xmlns:r="http://schemas.openxmlformats.org/officeDocument/2006/relationships">
  <sheetPr codeName="Hoja31"/>
  <dimension ref="A1:AE22"/>
  <sheetViews>
    <sheetView showGridLines="0" zoomScalePageLayoutView="0" workbookViewId="0" topLeftCell="A10">
      <selection activeCell="B13" sqref="B13"/>
    </sheetView>
  </sheetViews>
  <sheetFormatPr defaultColWidth="11.421875" defaultRowHeight="15"/>
  <cols>
    <col min="1" max="1" width="38.00390625" style="154" customWidth="1"/>
    <col min="2" max="2" width="18.140625" style="154" customWidth="1"/>
    <col min="3" max="3" width="17.140625" style="154" customWidth="1"/>
    <col min="4" max="31" width="11.421875" style="154" customWidth="1"/>
  </cols>
  <sheetData>
    <row r="1" spans="1:5" ht="15">
      <c r="A1" s="154" t="str">
        <f>Indice!C1</f>
        <v>IMPORT CENTER S.A.</v>
      </c>
      <c r="E1" s="177" t="s">
        <v>144</v>
      </c>
    </row>
    <row r="5" spans="1:31" ht="15">
      <c r="A5" s="743" t="s">
        <v>324</v>
      </c>
      <c r="B5" s="743"/>
      <c r="C5" s="743"/>
      <c r="D5" s="743"/>
      <c r="E5" s="743"/>
      <c r="F5" s="743"/>
      <c r="G5" s="34"/>
      <c r="H5" s="34"/>
      <c r="I5" s="34"/>
      <c r="J5" s="34"/>
      <c r="K5" s="34"/>
      <c r="L5" s="34"/>
      <c r="M5" s="34"/>
      <c r="N5" s="34"/>
      <c r="O5" s="34"/>
      <c r="P5" s="34"/>
      <c r="Q5" s="34"/>
      <c r="R5" s="34"/>
      <c r="S5" s="34"/>
      <c r="T5" s="34"/>
      <c r="U5" s="34"/>
      <c r="V5" s="34"/>
      <c r="W5" s="34"/>
      <c r="X5" s="34"/>
      <c r="Y5" s="34"/>
      <c r="Z5" s="34"/>
      <c r="AA5" s="34"/>
      <c r="AB5" s="34"/>
      <c r="AC5" s="34"/>
      <c r="AD5" s="34"/>
      <c r="AE5" s="34"/>
    </row>
    <row r="7" spans="2:3" ht="15">
      <c r="B7" s="751"/>
      <c r="C7" s="751"/>
    </row>
    <row r="8" spans="1:31" s="235" customFormat="1" ht="15">
      <c r="A8" s="154"/>
      <c r="B8" s="752" t="s">
        <v>245</v>
      </c>
      <c r="C8" s="752"/>
      <c r="D8" s="154"/>
      <c r="E8" s="154"/>
      <c r="F8" s="154"/>
      <c r="G8" s="154"/>
      <c r="H8" s="154"/>
      <c r="I8" s="154"/>
      <c r="J8" s="154"/>
      <c r="K8" s="154"/>
      <c r="L8" s="154"/>
      <c r="M8" s="154"/>
      <c r="N8" s="154"/>
      <c r="O8" s="154"/>
      <c r="P8" s="154"/>
      <c r="Q8" s="154"/>
      <c r="R8" s="154"/>
      <c r="S8" s="154"/>
      <c r="T8" s="154"/>
      <c r="U8" s="154"/>
      <c r="V8" s="154"/>
      <c r="W8" s="154"/>
      <c r="X8" s="154"/>
      <c r="Y8" s="154"/>
      <c r="Z8" s="154"/>
      <c r="AA8" s="154"/>
      <c r="AB8" s="154"/>
      <c r="AC8" s="154"/>
      <c r="AD8" s="154"/>
      <c r="AE8" s="154"/>
    </row>
    <row r="9" spans="1:31" ht="15">
      <c r="A9" s="182" t="s">
        <v>152</v>
      </c>
      <c r="B9" s="427">
        <f>_xlfn.IFERROR(IF(Indice!B6="","2XX2",YEAR(Indice!B6)),"2XX2")</f>
        <v>2021</v>
      </c>
      <c r="C9" s="427">
        <f>+_xlfn.IFERROR(YEAR(Indice!B6-365),"2XX1")</f>
        <v>2020</v>
      </c>
      <c r="D9" s="34"/>
      <c r="E9" s="34"/>
      <c r="F9" s="34"/>
      <c r="G9" s="34"/>
      <c r="H9" s="34"/>
      <c r="I9" s="34"/>
      <c r="J9" s="34"/>
      <c r="K9" s="34"/>
      <c r="L9" s="34"/>
      <c r="M9" s="34"/>
      <c r="N9" s="34"/>
      <c r="O9" s="34"/>
      <c r="P9" s="34"/>
      <c r="Q9" s="34"/>
      <c r="R9" s="34"/>
      <c r="S9" s="34"/>
      <c r="T9" s="34"/>
      <c r="U9" s="34"/>
      <c r="V9" s="34"/>
      <c r="W9" s="34"/>
      <c r="X9" s="34"/>
      <c r="Y9" s="34"/>
      <c r="Z9" s="34"/>
      <c r="AA9" s="34"/>
      <c r="AB9" s="34"/>
      <c r="AC9" s="34"/>
      <c r="AD9" s="34"/>
      <c r="AE9" s="34"/>
    </row>
    <row r="10" spans="1:31" s="364" customFormat="1" ht="15">
      <c r="A10" s="182" t="s">
        <v>844</v>
      </c>
      <c r="B10" s="286"/>
      <c r="C10" s="286"/>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row>
    <row r="11" spans="1:31" ht="15">
      <c r="A11" s="34" t="s">
        <v>251</v>
      </c>
      <c r="B11" s="577">
        <v>22224404</v>
      </c>
      <c r="C11" s="577">
        <v>25598205</v>
      </c>
      <c r="D11" s="34"/>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row>
    <row r="12" spans="1:31" ht="15">
      <c r="A12" s="261" t="s">
        <v>252</v>
      </c>
      <c r="B12" s="577">
        <v>34655675</v>
      </c>
      <c r="C12" s="577">
        <v>15016764</v>
      </c>
      <c r="D12" s="34"/>
      <c r="E12" s="34"/>
      <c r="F12" s="34"/>
      <c r="G12" s="34"/>
      <c r="H12" s="34"/>
      <c r="I12" s="34"/>
      <c r="J12" s="34"/>
      <c r="K12" s="34"/>
      <c r="L12" s="34"/>
      <c r="M12" s="34"/>
      <c r="N12" s="34"/>
      <c r="O12" s="34"/>
      <c r="P12" s="34"/>
      <c r="Q12" s="34"/>
      <c r="R12" s="34"/>
      <c r="S12" s="34"/>
      <c r="T12" s="34"/>
      <c r="U12" s="34"/>
      <c r="V12" s="34"/>
      <c r="W12" s="34"/>
      <c r="X12" s="34"/>
      <c r="Y12" s="34"/>
      <c r="Z12" s="34"/>
      <c r="AA12" s="34"/>
      <c r="AB12" s="34"/>
      <c r="AC12" s="34"/>
      <c r="AD12" s="34"/>
      <c r="AE12" s="34"/>
    </row>
    <row r="13" spans="1:31" s="235" customFormat="1" ht="15">
      <c r="A13" s="261" t="s">
        <v>253</v>
      </c>
      <c r="B13" s="577"/>
      <c r="C13" s="577"/>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row>
    <row r="14" spans="1:31" s="235" customFormat="1" ht="15">
      <c r="A14" s="261" t="s">
        <v>254</v>
      </c>
      <c r="B14" s="577"/>
      <c r="C14" s="577"/>
      <c r="D14" s="34"/>
      <c r="E14" s="34"/>
      <c r="F14" s="34"/>
      <c r="G14" s="34"/>
      <c r="H14" s="34"/>
      <c r="I14" s="34"/>
      <c r="J14" s="34"/>
      <c r="K14" s="34"/>
      <c r="L14" s="34"/>
      <c r="M14" s="34"/>
      <c r="N14" s="34"/>
      <c r="O14" s="34"/>
      <c r="P14" s="34"/>
      <c r="Q14" s="34"/>
      <c r="R14" s="34"/>
      <c r="S14" s="34"/>
      <c r="T14" s="34"/>
      <c r="U14" s="34"/>
      <c r="V14" s="34"/>
      <c r="W14" s="34"/>
      <c r="X14" s="34"/>
      <c r="Y14" s="34"/>
      <c r="Z14" s="34"/>
      <c r="AA14" s="34"/>
      <c r="AB14" s="34"/>
      <c r="AC14" s="34"/>
      <c r="AD14" s="34"/>
      <c r="AE14" s="34"/>
    </row>
    <row r="15" spans="1:31" s="364" customFormat="1" ht="15">
      <c r="A15" s="182" t="s">
        <v>845</v>
      </c>
      <c r="B15" s="578"/>
      <c r="C15" s="578"/>
      <c r="D15" s="34"/>
      <c r="E15" s="34"/>
      <c r="F15" s="34"/>
      <c r="G15" s="34"/>
      <c r="H15" s="34"/>
      <c r="I15" s="34"/>
      <c r="J15" s="34"/>
      <c r="K15" s="34"/>
      <c r="L15" s="34"/>
      <c r="M15" s="34"/>
      <c r="N15" s="34"/>
      <c r="O15" s="34"/>
      <c r="P15" s="34"/>
      <c r="Q15" s="34"/>
      <c r="R15" s="34"/>
      <c r="S15" s="34"/>
      <c r="T15" s="34"/>
      <c r="U15" s="34"/>
      <c r="V15" s="34"/>
      <c r="W15" s="34"/>
      <c r="X15" s="34"/>
      <c r="Y15" s="34"/>
      <c r="Z15" s="34"/>
      <c r="AA15" s="34"/>
      <c r="AB15" s="34"/>
      <c r="AC15" s="34"/>
      <c r="AD15" s="34"/>
      <c r="AE15" s="34"/>
    </row>
    <row r="16" spans="1:31" s="364" customFormat="1" ht="15">
      <c r="A16" s="34" t="s">
        <v>251</v>
      </c>
      <c r="B16" s="577"/>
      <c r="C16" s="577"/>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row>
    <row r="17" spans="1:31" s="364" customFormat="1" ht="15">
      <c r="A17" s="261" t="s">
        <v>252</v>
      </c>
      <c r="B17" s="577"/>
      <c r="C17" s="577"/>
      <c r="D17" s="34"/>
      <c r="E17" s="34"/>
      <c r="F17" s="34"/>
      <c r="G17" s="34"/>
      <c r="H17" s="34"/>
      <c r="I17" s="34"/>
      <c r="J17" s="34"/>
      <c r="K17" s="34"/>
      <c r="L17" s="34"/>
      <c r="M17" s="34"/>
      <c r="N17" s="34"/>
      <c r="O17" s="34"/>
      <c r="P17" s="34"/>
      <c r="Q17" s="34"/>
      <c r="R17" s="34"/>
      <c r="S17" s="34"/>
      <c r="T17" s="34"/>
      <c r="U17" s="34"/>
      <c r="V17" s="34"/>
      <c r="W17" s="34"/>
      <c r="X17" s="34"/>
      <c r="Y17" s="34"/>
      <c r="Z17" s="34"/>
      <c r="AA17" s="34"/>
      <c r="AB17" s="34"/>
      <c r="AC17" s="34"/>
      <c r="AD17" s="34"/>
      <c r="AE17" s="34"/>
    </row>
    <row r="18" spans="1:31" s="364" customFormat="1" ht="15">
      <c r="A18" s="261" t="s">
        <v>253</v>
      </c>
      <c r="B18" s="577"/>
      <c r="C18" s="577"/>
      <c r="D18" s="34"/>
      <c r="E18" s="34"/>
      <c r="F18" s="34"/>
      <c r="G18" s="34"/>
      <c r="H18" s="34"/>
      <c r="I18" s="34"/>
      <c r="J18" s="34"/>
      <c r="K18" s="34"/>
      <c r="L18" s="34"/>
      <c r="M18" s="34"/>
      <c r="N18" s="34"/>
      <c r="O18" s="34"/>
      <c r="P18" s="34"/>
      <c r="Q18" s="34"/>
      <c r="R18" s="34"/>
      <c r="S18" s="34"/>
      <c r="T18" s="34"/>
      <c r="U18" s="34"/>
      <c r="V18" s="34"/>
      <c r="W18" s="34"/>
      <c r="X18" s="34"/>
      <c r="Y18" s="34"/>
      <c r="Z18" s="34"/>
      <c r="AA18" s="34"/>
      <c r="AB18" s="34"/>
      <c r="AC18" s="34"/>
      <c r="AD18" s="34"/>
      <c r="AE18" s="34"/>
    </row>
    <row r="19" spans="1:31" s="364" customFormat="1" ht="15">
      <c r="A19" s="261" t="s">
        <v>254</v>
      </c>
      <c r="B19" s="577">
        <v>-32388076</v>
      </c>
      <c r="C19" s="577">
        <v>-22224404</v>
      </c>
      <c r="D19" s="34"/>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row>
    <row r="20" spans="1:31" s="364" customFormat="1" ht="15">
      <c r="A20" s="376" t="s">
        <v>843</v>
      </c>
      <c r="B20" s="577"/>
      <c r="C20" s="577"/>
      <c r="D20" s="34"/>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row>
    <row r="21" spans="1:31" ht="15">
      <c r="A21" s="34" t="s">
        <v>255</v>
      </c>
      <c r="B21" s="579">
        <f>SUM($B$10:B20)-1</f>
        <v>24492002</v>
      </c>
      <c r="C21" s="579">
        <f>SUM($C$10:C20)</f>
        <v>18390565</v>
      </c>
      <c r="D21" s="34"/>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row>
    <row r="22" spans="1:31" ht="15">
      <c r="A22" s="34"/>
      <c r="B22" s="34"/>
      <c r="C22" s="34"/>
      <c r="D22" s="34"/>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row>
  </sheetData>
  <sheetProtection/>
  <mergeCells count="3">
    <mergeCell ref="A5:F5"/>
    <mergeCell ref="B7:C7"/>
    <mergeCell ref="B8:C8"/>
  </mergeCells>
  <hyperlinks>
    <hyperlink ref="E1" location="ER!A1" display="ER"/>
  </hyperlink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codeName="Hoja32"/>
  <dimension ref="A1:AG46"/>
  <sheetViews>
    <sheetView showGridLines="0" zoomScalePageLayoutView="0" workbookViewId="0" topLeftCell="A7">
      <pane xSplit="1" ySplit="6" topLeftCell="B13" activePane="bottomRight" state="frozen"/>
      <selection pane="topLeft" activeCell="A7" sqref="A7"/>
      <selection pane="topRight" activeCell="B7" sqref="B7"/>
      <selection pane="bottomLeft" activeCell="A13" sqref="A13"/>
      <selection pane="bottomRight" activeCell="A1" sqref="A1"/>
    </sheetView>
  </sheetViews>
  <sheetFormatPr defaultColWidth="11.421875" defaultRowHeight="15"/>
  <cols>
    <col min="1" max="1" width="38.00390625" style="154" customWidth="1"/>
    <col min="2" max="7" width="23.00390625" style="154" customWidth="1"/>
    <col min="8" max="33" width="11.421875" style="154" customWidth="1"/>
  </cols>
  <sheetData>
    <row r="1" spans="1:7" ht="15">
      <c r="A1" s="154" t="str">
        <f>Indice!C1</f>
        <v>IMPORT CENTER S.A.</v>
      </c>
      <c r="G1" s="177" t="s">
        <v>144</v>
      </c>
    </row>
    <row r="5" spans="1:33" ht="15">
      <c r="A5" s="337" t="s">
        <v>325</v>
      </c>
      <c r="B5" s="337"/>
      <c r="C5" s="337"/>
      <c r="D5" s="337"/>
      <c r="E5" s="337"/>
      <c r="F5" s="337"/>
      <c r="G5" s="337"/>
      <c r="H5" s="337"/>
      <c r="I5" s="34"/>
      <c r="J5" s="34"/>
      <c r="K5" s="34"/>
      <c r="L5" s="34"/>
      <c r="M5" s="34"/>
      <c r="N5" s="34"/>
      <c r="O5" s="34"/>
      <c r="P5" s="34"/>
      <c r="Q5" s="34"/>
      <c r="R5" s="34"/>
      <c r="S5" s="34"/>
      <c r="T5" s="34"/>
      <c r="U5" s="34"/>
      <c r="V5" s="34"/>
      <c r="W5" s="34"/>
      <c r="X5" s="34"/>
      <c r="Y5" s="34"/>
      <c r="Z5" s="34"/>
      <c r="AA5" s="34"/>
      <c r="AB5" s="34"/>
      <c r="AC5" s="34"/>
      <c r="AD5" s="34"/>
      <c r="AE5" s="34"/>
      <c r="AF5" s="34"/>
      <c r="AG5" s="34"/>
    </row>
    <row r="6" spans="1:8" ht="15">
      <c r="A6" s="753" t="s">
        <v>178</v>
      </c>
      <c r="B6" s="753"/>
      <c r="C6" s="753"/>
      <c r="D6" s="753"/>
      <c r="E6" s="753"/>
      <c r="F6" s="753"/>
      <c r="G6" s="753"/>
      <c r="H6" s="753"/>
    </row>
    <row r="7" spans="1:33" s="211" customFormat="1" ht="15">
      <c r="A7" s="210"/>
      <c r="B7" s="210"/>
      <c r="C7" s="210"/>
      <c r="D7" s="210"/>
      <c r="E7" s="210"/>
      <c r="F7" s="210"/>
      <c r="G7" s="210"/>
      <c r="H7" s="210"/>
      <c r="I7" s="210"/>
      <c r="J7" s="210"/>
      <c r="K7" s="210"/>
      <c r="L7" s="210"/>
      <c r="M7" s="210"/>
      <c r="N7" s="210"/>
      <c r="O7" s="210"/>
      <c r="P7" s="210"/>
      <c r="Q7" s="210"/>
      <c r="R7" s="210"/>
      <c r="S7" s="210"/>
      <c r="T7" s="210"/>
      <c r="U7" s="210"/>
      <c r="V7" s="210"/>
      <c r="W7" s="210"/>
      <c r="X7" s="210"/>
      <c r="Y7" s="210"/>
      <c r="Z7" s="210"/>
      <c r="AA7" s="210"/>
      <c r="AB7" s="210"/>
      <c r="AC7" s="210"/>
      <c r="AD7" s="210"/>
      <c r="AE7" s="210"/>
      <c r="AF7" s="210"/>
      <c r="AG7" s="210"/>
    </row>
    <row r="8" spans="1:33" s="211" customFormat="1" ht="15">
      <c r="A8" s="210" t="s">
        <v>179</v>
      </c>
      <c r="B8" s="210"/>
      <c r="C8" s="210"/>
      <c r="D8" s="210"/>
      <c r="E8" s="210"/>
      <c r="F8" s="210"/>
      <c r="G8" s="210"/>
      <c r="H8" s="210"/>
      <c r="I8" s="210"/>
      <c r="J8" s="210"/>
      <c r="K8" s="210"/>
      <c r="L8" s="210"/>
      <c r="M8" s="210"/>
      <c r="N8" s="210"/>
      <c r="O8" s="210"/>
      <c r="P8" s="210"/>
      <c r="Q8" s="210"/>
      <c r="R8" s="210"/>
      <c r="S8" s="210"/>
      <c r="T8" s="210"/>
      <c r="U8" s="210"/>
      <c r="V8" s="210"/>
      <c r="W8" s="210"/>
      <c r="X8" s="210"/>
      <c r="Y8" s="210"/>
      <c r="Z8" s="210"/>
      <c r="AA8" s="210"/>
      <c r="AB8" s="210"/>
      <c r="AC8" s="210"/>
      <c r="AD8" s="210"/>
      <c r="AE8" s="210"/>
      <c r="AF8" s="210"/>
      <c r="AG8" s="210"/>
    </row>
    <row r="9" spans="1:33" s="211" customFormat="1" ht="15">
      <c r="A9" s="210"/>
      <c r="B9" s="210"/>
      <c r="C9" s="210"/>
      <c r="D9" s="210"/>
      <c r="E9" s="210"/>
      <c r="F9" s="210"/>
      <c r="G9" s="210"/>
      <c r="H9" s="210"/>
      <c r="I9" s="210"/>
      <c r="J9" s="210"/>
      <c r="K9" s="210"/>
      <c r="L9" s="210"/>
      <c r="M9" s="210"/>
      <c r="N9" s="210"/>
      <c r="O9" s="210"/>
      <c r="P9" s="210"/>
      <c r="Q9" s="210"/>
      <c r="R9" s="210"/>
      <c r="S9" s="210"/>
      <c r="T9" s="210"/>
      <c r="U9" s="210"/>
      <c r="V9" s="210"/>
      <c r="W9" s="210"/>
      <c r="X9" s="210"/>
      <c r="Y9" s="210"/>
      <c r="Z9" s="210"/>
      <c r="AA9" s="210"/>
      <c r="AB9" s="210"/>
      <c r="AC9" s="210"/>
      <c r="AD9" s="210"/>
      <c r="AE9" s="210"/>
      <c r="AF9" s="210"/>
      <c r="AG9" s="210"/>
    </row>
    <row r="10" spans="1:33" s="211" customFormat="1" ht="15.75" thickBot="1">
      <c r="A10" s="385" t="s">
        <v>245</v>
      </c>
      <c r="B10" s="384"/>
      <c r="D10" s="385"/>
      <c r="E10" s="385"/>
      <c r="F10" s="386"/>
      <c r="G10" s="210"/>
      <c r="H10" s="210"/>
      <c r="I10" s="210"/>
      <c r="J10" s="210"/>
      <c r="K10" s="210"/>
      <c r="L10" s="210"/>
      <c r="M10" s="210"/>
      <c r="N10" s="210"/>
      <c r="O10" s="210"/>
      <c r="P10" s="210"/>
      <c r="Q10" s="210"/>
      <c r="R10" s="210"/>
      <c r="S10" s="210"/>
      <c r="T10" s="210"/>
      <c r="U10" s="210"/>
      <c r="V10" s="210"/>
      <c r="W10" s="210"/>
      <c r="X10" s="210"/>
      <c r="Y10" s="210"/>
      <c r="Z10" s="210"/>
      <c r="AA10" s="210"/>
      <c r="AB10" s="210"/>
      <c r="AC10" s="210"/>
      <c r="AD10" s="210"/>
      <c r="AE10" s="210"/>
      <c r="AF10" s="210"/>
      <c r="AG10" s="210"/>
    </row>
    <row r="11" spans="1:33" s="211" customFormat="1" ht="15.75" thickBot="1">
      <c r="A11" s="754"/>
      <c r="B11" s="447"/>
      <c r="C11" s="448">
        <f>_xlfn.IFERROR(IF(Indice!B6="","2XX2",YEAR(Indice!B6)),"2XX2")</f>
        <v>2021</v>
      </c>
      <c r="D11" s="450"/>
      <c r="E11" s="451"/>
      <c r="F11" s="448">
        <f>+_xlfn.IFERROR(YEAR(Indice!B6-365),"2XX1")</f>
        <v>2020</v>
      </c>
      <c r="G11" s="449"/>
      <c r="H11" s="210"/>
      <c r="I11" s="210"/>
      <c r="J11" s="210"/>
      <c r="K11" s="210"/>
      <c r="L11" s="210"/>
      <c r="M11" s="210"/>
      <c r="N11" s="210"/>
      <c r="O11" s="210"/>
      <c r="P11" s="210"/>
      <c r="Q11" s="210"/>
      <c r="R11" s="210"/>
      <c r="S11" s="210"/>
      <c r="T11" s="210"/>
      <c r="U11" s="210"/>
      <c r="V11" s="210"/>
      <c r="W11" s="210"/>
      <c r="X11" s="210"/>
      <c r="Y11" s="210"/>
      <c r="Z11" s="210"/>
      <c r="AA11" s="210"/>
      <c r="AB11" s="210"/>
      <c r="AC11" s="210"/>
      <c r="AD11" s="210"/>
      <c r="AE11" s="210"/>
      <c r="AF11" s="210"/>
      <c r="AG11" s="210"/>
    </row>
    <row r="12" spans="1:33" s="211" customFormat="1" ht="15.75" thickBot="1">
      <c r="A12" s="755"/>
      <c r="B12" s="446" t="s">
        <v>180</v>
      </c>
      <c r="C12" s="446" t="s">
        <v>181</v>
      </c>
      <c r="D12" s="446" t="s">
        <v>3</v>
      </c>
      <c r="E12" s="446" t="s">
        <v>180</v>
      </c>
      <c r="F12" s="446" t="s">
        <v>181</v>
      </c>
      <c r="G12" s="446" t="s">
        <v>3</v>
      </c>
      <c r="H12" s="210"/>
      <c r="I12" s="210"/>
      <c r="J12" s="210"/>
      <c r="K12" s="210"/>
      <c r="L12" s="210"/>
      <c r="M12" s="210"/>
      <c r="N12" s="210"/>
      <c r="O12" s="210"/>
      <c r="P12" s="210"/>
      <c r="Q12" s="210"/>
      <c r="R12" s="210"/>
      <c r="S12" s="210"/>
      <c r="T12" s="210"/>
      <c r="U12" s="210"/>
      <c r="V12" s="210"/>
      <c r="W12" s="210"/>
      <c r="X12" s="210"/>
      <c r="Y12" s="210"/>
      <c r="Z12" s="210"/>
      <c r="AA12" s="210"/>
      <c r="AB12" s="210"/>
      <c r="AC12" s="210"/>
      <c r="AD12" s="210"/>
      <c r="AE12" s="210"/>
      <c r="AF12" s="210"/>
      <c r="AG12" s="210"/>
    </row>
    <row r="13" spans="1:33" s="211" customFormat="1" ht="15">
      <c r="A13" s="258" t="s">
        <v>182</v>
      </c>
      <c r="B13" s="645">
        <f>70935+183534+119416</f>
        <v>373885</v>
      </c>
      <c r="C13" s="645"/>
      <c r="D13" s="597">
        <f>+C13+B13</f>
        <v>373885</v>
      </c>
      <c r="E13" s="645">
        <v>174306</v>
      </c>
      <c r="F13" s="597"/>
      <c r="G13" s="597">
        <f>+F13+E13</f>
        <v>174306</v>
      </c>
      <c r="H13" s="210"/>
      <c r="I13" s="210"/>
      <c r="J13" s="210"/>
      <c r="K13" s="210"/>
      <c r="L13" s="210"/>
      <c r="M13" s="210"/>
      <c r="N13" s="210"/>
      <c r="O13" s="210"/>
      <c r="P13" s="210"/>
      <c r="Q13" s="210"/>
      <c r="R13" s="210"/>
      <c r="S13" s="210"/>
      <c r="T13" s="210"/>
      <c r="U13" s="210"/>
      <c r="V13" s="210"/>
      <c r="W13" s="210"/>
      <c r="X13" s="210"/>
      <c r="Y13" s="210"/>
      <c r="Z13" s="210"/>
      <c r="AA13" s="210"/>
      <c r="AB13" s="210"/>
      <c r="AC13" s="210"/>
      <c r="AD13" s="210"/>
      <c r="AE13" s="210"/>
      <c r="AF13" s="210"/>
      <c r="AG13" s="210"/>
    </row>
    <row r="14" spans="1:33" s="211" customFormat="1" ht="15">
      <c r="A14" s="259" t="s">
        <v>183</v>
      </c>
      <c r="B14" s="646">
        <v>56494</v>
      </c>
      <c r="C14" s="646"/>
      <c r="D14" s="597">
        <f aca="true" t="shared" si="0" ref="D14:D35">+C14+B14</f>
        <v>56494</v>
      </c>
      <c r="E14" s="646">
        <v>83003</v>
      </c>
      <c r="F14" s="598"/>
      <c r="G14" s="598">
        <f>+F14+E14</f>
        <v>83003</v>
      </c>
      <c r="H14" s="210"/>
      <c r="I14" s="210"/>
      <c r="J14" s="210"/>
      <c r="K14" s="210"/>
      <c r="L14" s="210"/>
      <c r="M14" s="210"/>
      <c r="N14" s="210"/>
      <c r="O14" s="210"/>
      <c r="P14" s="210"/>
      <c r="Q14" s="210"/>
      <c r="R14" s="210"/>
      <c r="S14" s="210"/>
      <c r="T14" s="210"/>
      <c r="U14" s="210"/>
      <c r="V14" s="210"/>
      <c r="W14" s="210"/>
      <c r="X14" s="210"/>
      <c r="Y14" s="210"/>
      <c r="Z14" s="210"/>
      <c r="AA14" s="210"/>
      <c r="AB14" s="210"/>
      <c r="AC14" s="210"/>
      <c r="AD14" s="210"/>
      <c r="AE14" s="210"/>
      <c r="AF14" s="210"/>
      <c r="AG14" s="210"/>
    </row>
    <row r="15" spans="1:33" s="211" customFormat="1" ht="15">
      <c r="A15" s="259" t="s">
        <v>184</v>
      </c>
      <c r="B15" s="646"/>
      <c r="C15" s="646">
        <v>85240</v>
      </c>
      <c r="D15" s="597">
        <f t="shared" si="0"/>
        <v>85240</v>
      </c>
      <c r="E15" s="646"/>
      <c r="F15" s="598">
        <v>7344</v>
      </c>
      <c r="G15" s="598">
        <f aca="true" t="shared" si="1" ref="G15:G35">+F15+E15</f>
        <v>7344</v>
      </c>
      <c r="H15" s="210"/>
      <c r="I15" s="210"/>
      <c r="J15" s="210"/>
      <c r="K15" s="210"/>
      <c r="L15" s="210"/>
      <c r="M15" s="210"/>
      <c r="N15" s="210"/>
      <c r="O15" s="210"/>
      <c r="P15" s="210"/>
      <c r="Q15" s="210"/>
      <c r="R15" s="210"/>
      <c r="S15" s="210"/>
      <c r="T15" s="210"/>
      <c r="U15" s="210"/>
      <c r="V15" s="210"/>
      <c r="W15" s="210"/>
      <c r="X15" s="210"/>
      <c r="Y15" s="210"/>
      <c r="Z15" s="210"/>
      <c r="AA15" s="210"/>
      <c r="AB15" s="210"/>
      <c r="AC15" s="210"/>
      <c r="AD15" s="210"/>
      <c r="AE15" s="210"/>
      <c r="AF15" s="210"/>
      <c r="AG15" s="210"/>
    </row>
    <row r="16" spans="1:33" s="211" customFormat="1" ht="15">
      <c r="A16" s="259" t="s">
        <v>185</v>
      </c>
      <c r="B16" s="646">
        <v>741830</v>
      </c>
      <c r="C16" s="646">
        <f>149752+81540+91180</f>
        <v>322472</v>
      </c>
      <c r="D16" s="597">
        <f t="shared" si="0"/>
        <v>1064302</v>
      </c>
      <c r="E16" s="646">
        <f>529270+93505</f>
        <v>622775</v>
      </c>
      <c r="F16" s="598">
        <f>58789+86855</f>
        <v>145644</v>
      </c>
      <c r="G16" s="598">
        <f t="shared" si="1"/>
        <v>768419</v>
      </c>
      <c r="H16" s="210"/>
      <c r="I16" s="210"/>
      <c r="J16" s="210"/>
      <c r="K16" s="210"/>
      <c r="L16" s="210"/>
      <c r="M16" s="210"/>
      <c r="N16" s="210"/>
      <c r="O16" s="210"/>
      <c r="P16" s="210"/>
      <c r="Q16" s="210"/>
      <c r="R16" s="210"/>
      <c r="S16" s="210"/>
      <c r="T16" s="210"/>
      <c r="U16" s="210"/>
      <c r="V16" s="210"/>
      <c r="W16" s="210"/>
      <c r="X16" s="210"/>
      <c r="Y16" s="210"/>
      <c r="Z16" s="210"/>
      <c r="AA16" s="210"/>
      <c r="AB16" s="210"/>
      <c r="AC16" s="210"/>
      <c r="AD16" s="210"/>
      <c r="AE16" s="210"/>
      <c r="AF16" s="210"/>
      <c r="AG16" s="210"/>
    </row>
    <row r="17" spans="1:33" s="211" customFormat="1" ht="15">
      <c r="A17" s="259" t="s">
        <v>186</v>
      </c>
      <c r="B17" s="646"/>
      <c r="C17" s="646">
        <f>69140+33307+8333</f>
        <v>110780</v>
      </c>
      <c r="D17" s="597">
        <f t="shared" si="0"/>
        <v>110780</v>
      </c>
      <c r="E17" s="646"/>
      <c r="F17" s="598">
        <f>182997+46211+18008</f>
        <v>247216</v>
      </c>
      <c r="G17" s="598">
        <f t="shared" si="1"/>
        <v>247216</v>
      </c>
      <c r="H17" s="210"/>
      <c r="I17" s="210"/>
      <c r="J17" s="210"/>
      <c r="K17" s="210"/>
      <c r="L17" s="210"/>
      <c r="M17" s="210"/>
      <c r="N17" s="210"/>
      <c r="O17" s="210"/>
      <c r="P17" s="210"/>
      <c r="Q17" s="210"/>
      <c r="R17" s="210"/>
      <c r="S17" s="210"/>
      <c r="T17" s="210"/>
      <c r="U17" s="210"/>
      <c r="V17" s="210"/>
      <c r="W17" s="210"/>
      <c r="X17" s="210"/>
      <c r="Y17" s="210"/>
      <c r="Z17" s="210"/>
      <c r="AA17" s="210"/>
      <c r="AB17" s="210"/>
      <c r="AC17" s="210"/>
      <c r="AD17" s="210"/>
      <c r="AE17" s="210"/>
      <c r="AF17" s="210"/>
      <c r="AG17" s="210"/>
    </row>
    <row r="18" spans="1:33" s="211" customFormat="1" ht="15">
      <c r="A18" s="259" t="s">
        <v>187</v>
      </c>
      <c r="B18" s="646"/>
      <c r="C18" s="646"/>
      <c r="D18" s="597">
        <f t="shared" si="0"/>
        <v>0</v>
      </c>
      <c r="E18" s="646"/>
      <c r="F18" s="598"/>
      <c r="G18" s="598">
        <f t="shared" si="1"/>
        <v>0</v>
      </c>
      <c r="H18" s="210"/>
      <c r="I18" s="210"/>
      <c r="J18" s="210"/>
      <c r="K18" s="210"/>
      <c r="L18" s="210"/>
      <c r="M18" s="210"/>
      <c r="N18" s="210"/>
      <c r="O18" s="210"/>
      <c r="P18" s="210"/>
      <c r="Q18" s="210"/>
      <c r="R18" s="210"/>
      <c r="S18" s="210"/>
      <c r="T18" s="210"/>
      <c r="U18" s="210"/>
      <c r="V18" s="210"/>
      <c r="W18" s="210"/>
      <c r="X18" s="210"/>
      <c r="Y18" s="210"/>
      <c r="Z18" s="210"/>
      <c r="AA18" s="210"/>
      <c r="AB18" s="210"/>
      <c r="AC18" s="210"/>
      <c r="AD18" s="210"/>
      <c r="AE18" s="210"/>
      <c r="AF18" s="210"/>
      <c r="AG18" s="210"/>
    </row>
    <row r="19" spans="1:33" s="211" customFormat="1" ht="15">
      <c r="A19" s="259" t="s">
        <v>188</v>
      </c>
      <c r="B19" s="646"/>
      <c r="C19" s="646">
        <f>89047+12305+66119+170530</f>
        <v>338001</v>
      </c>
      <c r="D19" s="597">
        <f t="shared" si="0"/>
        <v>338001</v>
      </c>
      <c r="E19" s="646"/>
      <c r="F19" s="598">
        <f>84231+18207+70446+106971</f>
        <v>279855</v>
      </c>
      <c r="G19" s="598">
        <f t="shared" si="1"/>
        <v>279855</v>
      </c>
      <c r="H19" s="210"/>
      <c r="I19" s="210"/>
      <c r="J19" s="210"/>
      <c r="K19" s="210"/>
      <c r="L19" s="210"/>
      <c r="M19" s="210"/>
      <c r="N19" s="210"/>
      <c r="O19" s="210"/>
      <c r="P19" s="210"/>
      <c r="Q19" s="210"/>
      <c r="R19" s="210"/>
      <c r="S19" s="210"/>
      <c r="T19" s="210"/>
      <c r="U19" s="210"/>
      <c r="V19" s="210"/>
      <c r="W19" s="210"/>
      <c r="X19" s="210"/>
      <c r="Y19" s="210"/>
      <c r="Z19" s="210"/>
      <c r="AA19" s="210"/>
      <c r="AB19" s="210"/>
      <c r="AC19" s="210"/>
      <c r="AD19" s="210"/>
      <c r="AE19" s="210"/>
      <c r="AF19" s="210"/>
      <c r="AG19" s="210"/>
    </row>
    <row r="20" spans="1:33" s="211" customFormat="1" ht="15">
      <c r="A20" s="259" t="s">
        <v>189</v>
      </c>
      <c r="B20" s="646">
        <v>36659</v>
      </c>
      <c r="C20" s="646">
        <v>295152</v>
      </c>
      <c r="D20" s="597">
        <f t="shared" si="0"/>
        <v>331811</v>
      </c>
      <c r="E20" s="646">
        <v>37108</v>
      </c>
      <c r="F20" s="598">
        <v>41675</v>
      </c>
      <c r="G20" s="598">
        <f t="shared" si="1"/>
        <v>78783</v>
      </c>
      <c r="H20" s="210"/>
      <c r="I20" s="210"/>
      <c r="J20" s="210"/>
      <c r="K20" s="210"/>
      <c r="L20" s="210"/>
      <c r="M20" s="210"/>
      <c r="N20" s="210"/>
      <c r="O20" s="210"/>
      <c r="P20" s="210"/>
      <c r="Q20" s="210"/>
      <c r="R20" s="210"/>
      <c r="S20" s="210"/>
      <c r="T20" s="210"/>
      <c r="U20" s="210"/>
      <c r="V20" s="210"/>
      <c r="W20" s="210"/>
      <c r="X20" s="210"/>
      <c r="Y20" s="210"/>
      <c r="Z20" s="210"/>
      <c r="AA20" s="210"/>
      <c r="AB20" s="210"/>
      <c r="AC20" s="210"/>
      <c r="AD20" s="210"/>
      <c r="AE20" s="210"/>
      <c r="AF20" s="210"/>
      <c r="AG20" s="210"/>
    </row>
    <row r="21" spans="1:33" s="211" customFormat="1" ht="15">
      <c r="A21" s="259" t="s">
        <v>190</v>
      </c>
      <c r="B21" s="646"/>
      <c r="C21" s="646">
        <v>18016</v>
      </c>
      <c r="D21" s="597">
        <f t="shared" si="0"/>
        <v>18016</v>
      </c>
      <c r="E21" s="646"/>
      <c r="F21" s="598">
        <f>12224+436</f>
        <v>12660</v>
      </c>
      <c r="G21" s="598">
        <f t="shared" si="1"/>
        <v>12660</v>
      </c>
      <c r="H21" s="210"/>
      <c r="I21" s="210"/>
      <c r="J21" s="210"/>
      <c r="K21" s="210"/>
      <c r="L21" s="210"/>
      <c r="M21" s="210"/>
      <c r="N21" s="210"/>
      <c r="O21" s="210"/>
      <c r="P21" s="210"/>
      <c r="Q21" s="210"/>
      <c r="R21" s="210"/>
      <c r="S21" s="210"/>
      <c r="T21" s="210"/>
      <c r="U21" s="210"/>
      <c r="V21" s="210"/>
      <c r="W21" s="210"/>
      <c r="X21" s="210"/>
      <c r="Y21" s="210"/>
      <c r="Z21" s="210"/>
      <c r="AA21" s="210"/>
      <c r="AB21" s="210"/>
      <c r="AC21" s="210"/>
      <c r="AD21" s="210"/>
      <c r="AE21" s="210"/>
      <c r="AF21" s="210"/>
      <c r="AG21" s="210"/>
    </row>
    <row r="22" spans="1:33" s="211" customFormat="1" ht="15">
      <c r="A22" s="259" t="s">
        <v>191</v>
      </c>
      <c r="B22" s="646"/>
      <c r="C22" s="646">
        <v>56463</v>
      </c>
      <c r="D22" s="597">
        <f t="shared" si="0"/>
        <v>56463</v>
      </c>
      <c r="E22" s="646"/>
      <c r="F22" s="598">
        <v>57327</v>
      </c>
      <c r="G22" s="598">
        <f t="shared" si="1"/>
        <v>57327</v>
      </c>
      <c r="H22" s="210"/>
      <c r="I22" s="210"/>
      <c r="J22" s="210"/>
      <c r="K22" s="210"/>
      <c r="L22" s="210"/>
      <c r="M22" s="210"/>
      <c r="N22" s="210"/>
      <c r="O22" s="210"/>
      <c r="P22" s="210"/>
      <c r="Q22" s="210"/>
      <c r="R22" s="210"/>
      <c r="S22" s="210"/>
      <c r="T22" s="210"/>
      <c r="U22" s="210"/>
      <c r="V22" s="210"/>
      <c r="W22" s="210"/>
      <c r="X22" s="210"/>
      <c r="Y22" s="210"/>
      <c r="Z22" s="210"/>
      <c r="AA22" s="210"/>
      <c r="AB22" s="210"/>
      <c r="AC22" s="210"/>
      <c r="AD22" s="210"/>
      <c r="AE22" s="210"/>
      <c r="AF22" s="210"/>
      <c r="AG22" s="210"/>
    </row>
    <row r="23" spans="1:33" s="211" customFormat="1" ht="15">
      <c r="A23" s="259" t="s">
        <v>192</v>
      </c>
      <c r="B23" s="646">
        <f>5870+20872</f>
        <v>26742</v>
      </c>
      <c r="C23" s="646">
        <f>54462+126282+11150+47075+82003+12111+1200+46510+14037+59145+6464+13617</f>
        <v>474056</v>
      </c>
      <c r="D23" s="597">
        <f t="shared" si="0"/>
        <v>500798</v>
      </c>
      <c r="E23" s="649">
        <f>72147+65892+18109+12424</f>
        <v>168572</v>
      </c>
      <c r="F23" s="598">
        <f>26012+66242+11066+40061+79401+12587+700+32572+28444+55566+34822+62745+155719</f>
        <v>605937</v>
      </c>
      <c r="G23" s="598">
        <f t="shared" si="1"/>
        <v>774509</v>
      </c>
      <c r="H23" s="210"/>
      <c r="I23" s="210"/>
      <c r="J23" s="210"/>
      <c r="K23" s="210"/>
      <c r="L23" s="210"/>
      <c r="M23" s="210"/>
      <c r="N23" s="210"/>
      <c r="O23" s="210"/>
      <c r="P23" s="210"/>
      <c r="Q23" s="210"/>
      <c r="R23" s="210"/>
      <c r="S23" s="210"/>
      <c r="T23" s="210"/>
      <c r="U23" s="210"/>
      <c r="V23" s="210"/>
      <c r="W23" s="210"/>
      <c r="X23" s="210"/>
      <c r="Y23" s="210"/>
      <c r="Z23" s="210"/>
      <c r="AA23" s="210"/>
      <c r="AB23" s="210"/>
      <c r="AC23" s="210"/>
      <c r="AD23" s="210"/>
      <c r="AE23" s="210"/>
      <c r="AF23" s="210"/>
      <c r="AG23" s="210"/>
    </row>
    <row r="24" spans="1:33" s="211" customFormat="1" ht="24">
      <c r="A24" s="259" t="s">
        <v>193</v>
      </c>
      <c r="B24" s="646"/>
      <c r="C24" s="646">
        <v>520000</v>
      </c>
      <c r="D24" s="597">
        <f t="shared" si="0"/>
        <v>520000</v>
      </c>
      <c r="E24" s="646"/>
      <c r="F24" s="598">
        <v>514583</v>
      </c>
      <c r="G24" s="598">
        <f t="shared" si="1"/>
        <v>514583</v>
      </c>
      <c r="H24" s="210"/>
      <c r="I24" s="210"/>
      <c r="J24" s="210"/>
      <c r="K24" s="210"/>
      <c r="L24" s="210"/>
      <c r="M24" s="210"/>
      <c r="N24" s="210"/>
      <c r="O24" s="210"/>
      <c r="P24" s="210"/>
      <c r="Q24" s="210"/>
      <c r="R24" s="210"/>
      <c r="S24" s="210"/>
      <c r="T24" s="210"/>
      <c r="U24" s="210"/>
      <c r="V24" s="210"/>
      <c r="W24" s="210"/>
      <c r="X24" s="210"/>
      <c r="Y24" s="210"/>
      <c r="Z24" s="210"/>
      <c r="AA24" s="210"/>
      <c r="AB24" s="210"/>
      <c r="AC24" s="210"/>
      <c r="AD24" s="210"/>
      <c r="AE24" s="210"/>
      <c r="AF24" s="210"/>
      <c r="AG24" s="210"/>
    </row>
    <row r="25" spans="1:33" s="211" customFormat="1" ht="15">
      <c r="A25" s="259" t="s">
        <v>194</v>
      </c>
      <c r="B25" s="646"/>
      <c r="C25" s="646">
        <v>1519814</v>
      </c>
      <c r="D25" s="597">
        <f t="shared" si="0"/>
        <v>1519814</v>
      </c>
      <c r="E25" s="646"/>
      <c r="F25" s="598">
        <v>798989</v>
      </c>
      <c r="G25" s="598">
        <f t="shared" si="1"/>
        <v>798989</v>
      </c>
      <c r="H25" s="210"/>
      <c r="I25" s="210"/>
      <c r="J25" s="210"/>
      <c r="K25" s="210"/>
      <c r="L25" s="210"/>
      <c r="M25" s="210"/>
      <c r="N25" s="210"/>
      <c r="O25" s="210"/>
      <c r="P25" s="210"/>
      <c r="Q25" s="210"/>
      <c r="R25" s="210"/>
      <c r="S25" s="210"/>
      <c r="T25" s="210"/>
      <c r="U25" s="210"/>
      <c r="V25" s="210"/>
      <c r="W25" s="210"/>
      <c r="X25" s="210"/>
      <c r="Y25" s="210"/>
      <c r="Z25" s="210"/>
      <c r="AA25" s="210"/>
      <c r="AB25" s="210"/>
      <c r="AC25" s="210"/>
      <c r="AD25" s="210"/>
      <c r="AE25" s="210"/>
      <c r="AF25" s="210"/>
      <c r="AG25" s="210"/>
    </row>
    <row r="26" spans="1:33" s="211" customFormat="1" ht="15">
      <c r="A26" s="259" t="s">
        <v>195</v>
      </c>
      <c r="B26" s="646"/>
      <c r="C26" s="646">
        <v>259775</v>
      </c>
      <c r="D26" s="597">
        <f t="shared" si="0"/>
        <v>259775</v>
      </c>
      <c r="E26" s="646"/>
      <c r="F26" s="598">
        <v>136125</v>
      </c>
      <c r="G26" s="598">
        <f t="shared" si="1"/>
        <v>136125</v>
      </c>
      <c r="H26" s="210"/>
      <c r="I26" s="210"/>
      <c r="J26" s="210"/>
      <c r="K26" s="210"/>
      <c r="L26" s="210"/>
      <c r="M26" s="210"/>
      <c r="N26" s="210"/>
      <c r="O26" s="210"/>
      <c r="P26" s="210"/>
      <c r="Q26" s="210"/>
      <c r="R26" s="210"/>
      <c r="S26" s="210"/>
      <c r="T26" s="210"/>
      <c r="U26" s="210"/>
      <c r="V26" s="210"/>
      <c r="W26" s="210"/>
      <c r="X26" s="210"/>
      <c r="Y26" s="210"/>
      <c r="Z26" s="210"/>
      <c r="AA26" s="210"/>
      <c r="AB26" s="210"/>
      <c r="AC26" s="210"/>
      <c r="AD26" s="210"/>
      <c r="AE26" s="210"/>
      <c r="AF26" s="210"/>
      <c r="AG26" s="210"/>
    </row>
    <row r="27" spans="1:33" s="211" customFormat="1" ht="15">
      <c r="A27" s="259" t="s">
        <v>196</v>
      </c>
      <c r="B27" s="646"/>
      <c r="C27" s="646"/>
      <c r="D27" s="597">
        <f t="shared" si="0"/>
        <v>0</v>
      </c>
      <c r="E27" s="646"/>
      <c r="F27" s="598">
        <f>482364</f>
        <v>482364</v>
      </c>
      <c r="G27" s="598">
        <f t="shared" si="1"/>
        <v>482364</v>
      </c>
      <c r="H27" s="210"/>
      <c r="I27" s="210"/>
      <c r="J27" s="210"/>
      <c r="K27" s="210"/>
      <c r="L27" s="210"/>
      <c r="M27" s="210"/>
      <c r="N27" s="210"/>
      <c r="O27" s="210"/>
      <c r="P27" s="210"/>
      <c r="Q27" s="210"/>
      <c r="R27" s="210"/>
      <c r="S27" s="210"/>
      <c r="T27" s="210"/>
      <c r="U27" s="210"/>
      <c r="V27" s="210"/>
      <c r="W27" s="210"/>
      <c r="X27" s="210"/>
      <c r="Y27" s="210"/>
      <c r="Z27" s="210"/>
      <c r="AA27" s="210"/>
      <c r="AB27" s="210"/>
      <c r="AC27" s="210"/>
      <c r="AD27" s="210"/>
      <c r="AE27" s="210"/>
      <c r="AF27" s="210"/>
      <c r="AG27" s="210"/>
    </row>
    <row r="28" spans="1:33" s="211" customFormat="1" ht="15">
      <c r="A28" s="259" t="s">
        <v>197</v>
      </c>
      <c r="B28" s="646">
        <f>14374+37166+21488+174894</f>
        <v>247922</v>
      </c>
      <c r="C28" s="646"/>
      <c r="D28" s="597">
        <f t="shared" si="0"/>
        <v>247922</v>
      </c>
      <c r="E28" s="646">
        <f>28667+21875+87188</f>
        <v>137730</v>
      </c>
      <c r="F28" s="598"/>
      <c r="G28" s="598">
        <f t="shared" si="1"/>
        <v>137730</v>
      </c>
      <c r="H28" s="210"/>
      <c r="I28" s="210"/>
      <c r="J28" s="210"/>
      <c r="K28" s="210"/>
      <c r="L28" s="210"/>
      <c r="M28" s="210"/>
      <c r="N28" s="210"/>
      <c r="O28" s="210"/>
      <c r="P28" s="210"/>
      <c r="Q28" s="210"/>
      <c r="R28" s="210"/>
      <c r="S28" s="210"/>
      <c r="T28" s="210"/>
      <c r="U28" s="210"/>
      <c r="V28" s="210"/>
      <c r="W28" s="210"/>
      <c r="X28" s="210"/>
      <c r="Y28" s="210"/>
      <c r="Z28" s="210"/>
      <c r="AA28" s="210"/>
      <c r="AB28" s="210"/>
      <c r="AC28" s="210"/>
      <c r="AD28" s="210"/>
      <c r="AE28" s="210"/>
      <c r="AF28" s="210"/>
      <c r="AG28" s="210"/>
    </row>
    <row r="29" spans="1:33" s="211" customFormat="1" ht="15">
      <c r="A29" s="259" t="s">
        <v>198</v>
      </c>
      <c r="B29" s="646"/>
      <c r="C29" s="646"/>
      <c r="D29" s="597">
        <f t="shared" si="0"/>
        <v>0</v>
      </c>
      <c r="E29" s="646"/>
      <c r="F29" s="598"/>
      <c r="G29" s="598">
        <f t="shared" si="1"/>
        <v>0</v>
      </c>
      <c r="H29" s="210"/>
      <c r="I29" s="210"/>
      <c r="J29" s="210"/>
      <c r="K29" s="210"/>
      <c r="L29" s="210"/>
      <c r="M29" s="210"/>
      <c r="N29" s="210"/>
      <c r="O29" s="210"/>
      <c r="P29" s="210"/>
      <c r="Q29" s="210"/>
      <c r="R29" s="210"/>
      <c r="S29" s="210"/>
      <c r="T29" s="210"/>
      <c r="U29" s="210"/>
      <c r="V29" s="210"/>
      <c r="W29" s="210"/>
      <c r="X29" s="210"/>
      <c r="Y29" s="210"/>
      <c r="Z29" s="210"/>
      <c r="AA29" s="210"/>
      <c r="AB29" s="210"/>
      <c r="AC29" s="210"/>
      <c r="AD29" s="210"/>
      <c r="AE29" s="210"/>
      <c r="AF29" s="210"/>
      <c r="AG29" s="210"/>
    </row>
    <row r="30" spans="1:33" s="211" customFormat="1" ht="15">
      <c r="A30" s="259" t="s">
        <v>199</v>
      </c>
      <c r="B30" s="646"/>
      <c r="C30" s="646"/>
      <c r="D30" s="597">
        <f t="shared" si="0"/>
        <v>0</v>
      </c>
      <c r="E30" s="646"/>
      <c r="F30" s="598"/>
      <c r="G30" s="598">
        <f t="shared" si="1"/>
        <v>0</v>
      </c>
      <c r="H30" s="210"/>
      <c r="I30" s="210"/>
      <c r="J30" s="210"/>
      <c r="K30" s="210"/>
      <c r="L30" s="210"/>
      <c r="M30" s="210"/>
      <c r="N30" s="210"/>
      <c r="O30" s="210"/>
      <c r="P30" s="210"/>
      <c r="Q30" s="210"/>
      <c r="R30" s="210"/>
      <c r="S30" s="210"/>
      <c r="T30" s="210"/>
      <c r="U30" s="210"/>
      <c r="V30" s="210"/>
      <c r="W30" s="210"/>
      <c r="X30" s="210"/>
      <c r="Y30" s="210"/>
      <c r="Z30" s="210"/>
      <c r="AA30" s="210"/>
      <c r="AB30" s="210"/>
      <c r="AC30" s="210"/>
      <c r="AD30" s="210"/>
      <c r="AE30" s="210"/>
      <c r="AF30" s="210"/>
      <c r="AG30" s="210"/>
    </row>
    <row r="31" spans="1:33" s="211" customFormat="1" ht="15">
      <c r="A31" s="259" t="s">
        <v>851</v>
      </c>
      <c r="B31" s="646"/>
      <c r="C31" s="646">
        <v>502879</v>
      </c>
      <c r="D31" s="597">
        <f t="shared" si="0"/>
        <v>502879</v>
      </c>
      <c r="E31" s="646"/>
      <c r="F31" s="598">
        <v>472989</v>
      </c>
      <c r="G31" s="598">
        <f t="shared" si="1"/>
        <v>472989</v>
      </c>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row>
    <row r="32" spans="1:33" s="211" customFormat="1" ht="15">
      <c r="A32" s="259" t="s">
        <v>200</v>
      </c>
      <c r="B32" s="646"/>
      <c r="C32" s="646"/>
      <c r="D32" s="597">
        <f t="shared" si="0"/>
        <v>0</v>
      </c>
      <c r="E32" s="646"/>
      <c r="F32" s="598"/>
      <c r="G32" s="598">
        <f t="shared" si="1"/>
        <v>0</v>
      </c>
      <c r="H32" s="210"/>
      <c r="I32" s="210"/>
      <c r="J32" s="210"/>
      <c r="K32" s="210"/>
      <c r="L32" s="210"/>
      <c r="M32" s="210"/>
      <c r="N32" s="210"/>
      <c r="O32" s="210"/>
      <c r="P32" s="210"/>
      <c r="Q32" s="210"/>
      <c r="R32" s="210"/>
      <c r="S32" s="210"/>
      <c r="T32" s="210"/>
      <c r="U32" s="210"/>
      <c r="V32" s="210"/>
      <c r="W32" s="210"/>
      <c r="X32" s="210"/>
      <c r="Y32" s="210"/>
      <c r="Z32" s="210"/>
      <c r="AA32" s="210"/>
      <c r="AB32" s="210"/>
      <c r="AC32" s="210"/>
      <c r="AD32" s="210"/>
      <c r="AE32" s="210"/>
      <c r="AF32" s="210"/>
      <c r="AG32" s="210"/>
    </row>
    <row r="33" spans="1:33" s="211" customFormat="1" ht="15">
      <c r="A33" s="259" t="s">
        <v>7</v>
      </c>
      <c r="B33" s="646"/>
      <c r="C33" s="646">
        <v>239544</v>
      </c>
      <c r="D33" s="597">
        <f t="shared" si="0"/>
        <v>239544</v>
      </c>
      <c r="E33" s="646"/>
      <c r="F33" s="598">
        <v>526217</v>
      </c>
      <c r="G33" s="598">
        <f t="shared" si="1"/>
        <v>526217</v>
      </c>
      <c r="H33" s="210"/>
      <c r="I33" s="210"/>
      <c r="J33" s="210"/>
      <c r="K33" s="210"/>
      <c r="L33" s="210"/>
      <c r="M33" s="210"/>
      <c r="N33" s="210"/>
      <c r="O33" s="210"/>
      <c r="P33" s="210"/>
      <c r="Q33" s="210"/>
      <c r="R33" s="210"/>
      <c r="S33" s="210"/>
      <c r="T33" s="210"/>
      <c r="U33" s="210"/>
      <c r="V33" s="210"/>
      <c r="W33" s="210"/>
      <c r="X33" s="210"/>
      <c r="Y33" s="210"/>
      <c r="Z33" s="210"/>
      <c r="AA33" s="210"/>
      <c r="AB33" s="210"/>
      <c r="AC33" s="210"/>
      <c r="AD33" s="210"/>
      <c r="AE33" s="210"/>
      <c r="AF33" s="210"/>
      <c r="AG33" s="210"/>
    </row>
    <row r="34" spans="1:33" s="211" customFormat="1" ht="15">
      <c r="A34" s="600" t="s">
        <v>958</v>
      </c>
      <c r="B34" s="647"/>
      <c r="C34" s="647"/>
      <c r="D34" s="597">
        <f t="shared" si="0"/>
        <v>0</v>
      </c>
      <c r="E34" s="647"/>
      <c r="F34" s="599"/>
      <c r="G34" s="598">
        <f t="shared" si="1"/>
        <v>0</v>
      </c>
      <c r="H34" s="210"/>
      <c r="I34" s="210"/>
      <c r="J34" s="210"/>
      <c r="K34" s="210"/>
      <c r="L34" s="210"/>
      <c r="M34" s="210"/>
      <c r="N34" s="210"/>
      <c r="O34" s="210"/>
      <c r="P34" s="210"/>
      <c r="Q34" s="210"/>
      <c r="R34" s="210"/>
      <c r="S34" s="210"/>
      <c r="T34" s="210"/>
      <c r="U34" s="210"/>
      <c r="V34" s="210"/>
      <c r="W34" s="210"/>
      <c r="X34" s="210"/>
      <c r="Y34" s="210"/>
      <c r="Z34" s="210"/>
      <c r="AA34" s="210"/>
      <c r="AB34" s="210"/>
      <c r="AC34" s="210"/>
      <c r="AD34" s="210"/>
      <c r="AE34" s="210"/>
      <c r="AF34" s="210"/>
      <c r="AG34" s="210"/>
    </row>
    <row r="35" spans="1:33" s="211" customFormat="1" ht="15">
      <c r="A35" s="387" t="s">
        <v>66</v>
      </c>
      <c r="B35" s="647"/>
      <c r="C35" s="647"/>
      <c r="D35" s="597">
        <f t="shared" si="0"/>
        <v>0</v>
      </c>
      <c r="E35" s="647"/>
      <c r="F35" s="599"/>
      <c r="G35" s="598">
        <f t="shared" si="1"/>
        <v>0</v>
      </c>
      <c r="H35" s="210"/>
      <c r="I35" s="210"/>
      <c r="J35" s="210"/>
      <c r="K35" s="210"/>
      <c r="L35" s="210"/>
      <c r="M35" s="210"/>
      <c r="N35" s="210"/>
      <c r="O35" s="210"/>
      <c r="P35" s="210"/>
      <c r="Q35" s="210"/>
      <c r="R35" s="210"/>
      <c r="S35" s="210"/>
      <c r="T35" s="210"/>
      <c r="U35" s="210"/>
      <c r="V35" s="210"/>
      <c r="W35" s="210"/>
      <c r="X35" s="210"/>
      <c r="Y35" s="210"/>
      <c r="Z35" s="210"/>
      <c r="AA35" s="210"/>
      <c r="AB35" s="210"/>
      <c r="AC35" s="210"/>
      <c r="AD35" s="210"/>
      <c r="AE35" s="210"/>
      <c r="AF35" s="210"/>
      <c r="AG35" s="210"/>
    </row>
    <row r="36" spans="1:33" s="211" customFormat="1" ht="15.75" thickBot="1">
      <c r="A36" s="260" t="s">
        <v>3</v>
      </c>
      <c r="B36" s="648">
        <f>+SUM($B$13:B35)</f>
        <v>1483532</v>
      </c>
      <c r="C36" s="648">
        <f>+SUM($C$13:C35)</f>
        <v>4742192</v>
      </c>
      <c r="D36" s="644">
        <f>+SUM($D$13:D35)-1-1</f>
        <v>6225722</v>
      </c>
      <c r="E36" s="648">
        <f>+SUM($E$13:E35)</f>
        <v>1223494</v>
      </c>
      <c r="F36" s="644">
        <f>+SUM($F$13:F35)</f>
        <v>4328925</v>
      </c>
      <c r="G36" s="644">
        <f>+SUM($G$13:G35)-1</f>
        <v>5552418</v>
      </c>
      <c r="H36" s="210"/>
      <c r="I36" s="210"/>
      <c r="J36" s="210"/>
      <c r="K36" s="210"/>
      <c r="L36" s="210"/>
      <c r="M36" s="210"/>
      <c r="N36" s="210"/>
      <c r="O36" s="210"/>
      <c r="P36" s="210"/>
      <c r="Q36" s="210"/>
      <c r="R36" s="210"/>
      <c r="S36" s="210"/>
      <c r="T36" s="210"/>
      <c r="U36" s="210"/>
      <c r="V36" s="210"/>
      <c r="W36" s="210"/>
      <c r="X36" s="210"/>
      <c r="Y36" s="210"/>
      <c r="Z36" s="210"/>
      <c r="AA36" s="210"/>
      <c r="AB36" s="210"/>
      <c r="AC36" s="210"/>
      <c r="AD36" s="210"/>
      <c r="AE36" s="210"/>
      <c r="AF36" s="210"/>
      <c r="AG36" s="210"/>
    </row>
    <row r="37" spans="1:33" s="211" customFormat="1" ht="15">
      <c r="A37" s="210"/>
      <c r="B37" s="210"/>
      <c r="C37" s="210"/>
      <c r="D37" s="210"/>
      <c r="E37" s="635"/>
      <c r="F37" s="635"/>
      <c r="G37" s="210"/>
      <c r="H37" s="210"/>
      <c r="I37" s="210"/>
      <c r="J37" s="210"/>
      <c r="K37" s="210"/>
      <c r="L37" s="210"/>
      <c r="M37" s="210"/>
      <c r="N37" s="210"/>
      <c r="O37" s="210"/>
      <c r="P37" s="210"/>
      <c r="Q37" s="210"/>
      <c r="R37" s="210"/>
      <c r="S37" s="210"/>
      <c r="T37" s="210"/>
      <c r="U37" s="210"/>
      <c r="V37" s="210"/>
      <c r="W37" s="210"/>
      <c r="X37" s="210"/>
      <c r="Y37" s="210"/>
      <c r="Z37" s="210"/>
      <c r="AA37" s="210"/>
      <c r="AB37" s="210"/>
      <c r="AC37" s="210"/>
      <c r="AD37" s="210"/>
      <c r="AE37" s="210"/>
      <c r="AF37" s="210"/>
      <c r="AG37" s="210"/>
    </row>
    <row r="38" spans="1:33" s="211" customFormat="1" ht="15">
      <c r="A38" s="210"/>
      <c r="B38" s="635"/>
      <c r="C38" s="635"/>
      <c r="D38" s="210"/>
      <c r="E38" s="210"/>
      <c r="F38" s="210"/>
      <c r="G38" s="210"/>
      <c r="H38" s="210"/>
      <c r="I38" s="210"/>
      <c r="J38" s="210"/>
      <c r="K38" s="210"/>
      <c r="L38" s="210"/>
      <c r="M38" s="210"/>
      <c r="N38" s="210"/>
      <c r="O38" s="210"/>
      <c r="P38" s="210"/>
      <c r="Q38" s="210"/>
      <c r="R38" s="210"/>
      <c r="S38" s="210"/>
      <c r="T38" s="210"/>
      <c r="U38" s="210"/>
      <c r="V38" s="210"/>
      <c r="W38" s="210"/>
      <c r="X38" s="210"/>
      <c r="Y38" s="210"/>
      <c r="Z38" s="210"/>
      <c r="AA38" s="210"/>
      <c r="AB38" s="210"/>
      <c r="AC38" s="210"/>
      <c r="AD38" s="210"/>
      <c r="AE38" s="210"/>
      <c r="AF38" s="210"/>
      <c r="AG38" s="210"/>
    </row>
    <row r="39" spans="1:33" s="211" customFormat="1" ht="15">
      <c r="A39" s="210"/>
      <c r="B39" s="210"/>
      <c r="C39" s="210"/>
      <c r="D39" s="210"/>
      <c r="E39" s="210"/>
      <c r="F39" s="210"/>
      <c r="G39" s="210"/>
      <c r="H39" s="210"/>
      <c r="I39" s="210"/>
      <c r="J39" s="210"/>
      <c r="K39" s="210"/>
      <c r="L39" s="210"/>
      <c r="M39" s="210"/>
      <c r="N39" s="210"/>
      <c r="O39" s="210"/>
      <c r="P39" s="210"/>
      <c r="Q39" s="210"/>
      <c r="R39" s="210"/>
      <c r="S39" s="210"/>
      <c r="T39" s="210"/>
      <c r="U39" s="210"/>
      <c r="V39" s="210"/>
      <c r="W39" s="210"/>
      <c r="X39" s="210"/>
      <c r="Y39" s="210"/>
      <c r="Z39" s="210"/>
      <c r="AA39" s="210"/>
      <c r="AB39" s="210"/>
      <c r="AC39" s="210"/>
      <c r="AD39" s="210"/>
      <c r="AE39" s="210"/>
      <c r="AF39" s="210"/>
      <c r="AG39" s="210"/>
    </row>
    <row r="40" spans="1:33" s="211" customFormat="1" ht="15">
      <c r="A40" s="210"/>
      <c r="B40" s="210"/>
      <c r="C40" s="210"/>
      <c r="D40" s="210"/>
      <c r="E40" s="210"/>
      <c r="F40" s="210"/>
      <c r="G40" s="210"/>
      <c r="H40" s="210"/>
      <c r="I40" s="210"/>
      <c r="J40" s="210"/>
      <c r="K40" s="210"/>
      <c r="L40" s="210"/>
      <c r="M40" s="210"/>
      <c r="N40" s="210"/>
      <c r="O40" s="210"/>
      <c r="P40" s="210"/>
      <c r="Q40" s="210"/>
      <c r="R40" s="210"/>
      <c r="S40" s="210"/>
      <c r="T40" s="210"/>
      <c r="U40" s="210"/>
      <c r="V40" s="210"/>
      <c r="W40" s="210"/>
      <c r="X40" s="210"/>
      <c r="Y40" s="210"/>
      <c r="Z40" s="210"/>
      <c r="AA40" s="210"/>
      <c r="AB40" s="210"/>
      <c r="AC40" s="210"/>
      <c r="AD40" s="210"/>
      <c r="AE40" s="210"/>
      <c r="AF40" s="210"/>
      <c r="AG40" s="210"/>
    </row>
    <row r="41" spans="1:33" s="211" customFormat="1" ht="15">
      <c r="A41" s="210"/>
      <c r="B41" s="210"/>
      <c r="C41" s="210"/>
      <c r="D41" s="210"/>
      <c r="E41" s="210"/>
      <c r="F41" s="210"/>
      <c r="G41" s="210"/>
      <c r="H41" s="210"/>
      <c r="I41" s="210"/>
      <c r="J41" s="210"/>
      <c r="K41" s="210"/>
      <c r="L41" s="210"/>
      <c r="M41" s="210"/>
      <c r="N41" s="210"/>
      <c r="O41" s="210"/>
      <c r="P41" s="210"/>
      <c r="Q41" s="210"/>
      <c r="R41" s="210"/>
      <c r="S41" s="210"/>
      <c r="T41" s="210"/>
      <c r="U41" s="210"/>
      <c r="V41" s="210"/>
      <c r="W41" s="210"/>
      <c r="X41" s="210"/>
      <c r="Y41" s="210"/>
      <c r="Z41" s="210"/>
      <c r="AA41" s="210"/>
      <c r="AB41" s="210"/>
      <c r="AC41" s="210"/>
      <c r="AD41" s="210"/>
      <c r="AE41" s="210"/>
      <c r="AF41" s="210"/>
      <c r="AG41" s="210"/>
    </row>
    <row r="42" spans="1:33" s="211" customFormat="1" ht="15">
      <c r="A42" s="210"/>
      <c r="B42" s="210"/>
      <c r="C42" s="210"/>
      <c r="D42" s="210"/>
      <c r="E42" s="210"/>
      <c r="F42" s="210"/>
      <c r="G42" s="210"/>
      <c r="H42" s="210"/>
      <c r="I42" s="210"/>
      <c r="J42" s="210"/>
      <c r="K42" s="210"/>
      <c r="L42" s="210"/>
      <c r="M42" s="210"/>
      <c r="N42" s="210"/>
      <c r="O42" s="210"/>
      <c r="P42" s="210"/>
      <c r="Q42" s="210"/>
      <c r="R42" s="210"/>
      <c r="S42" s="210"/>
      <c r="T42" s="210"/>
      <c r="U42" s="210"/>
      <c r="V42" s="210"/>
      <c r="W42" s="210"/>
      <c r="X42" s="210"/>
      <c r="Y42" s="210"/>
      <c r="Z42" s="210"/>
      <c r="AA42" s="210"/>
      <c r="AB42" s="210"/>
      <c r="AC42" s="210"/>
      <c r="AD42" s="210"/>
      <c r="AE42" s="210"/>
      <c r="AF42" s="210"/>
      <c r="AG42" s="210"/>
    </row>
    <row r="43" spans="1:33" s="211" customFormat="1" ht="15">
      <c r="A43" s="210"/>
      <c r="B43" s="210"/>
      <c r="C43" s="210"/>
      <c r="D43" s="210"/>
      <c r="E43" s="210"/>
      <c r="F43" s="210"/>
      <c r="G43" s="210"/>
      <c r="H43" s="210"/>
      <c r="I43" s="210"/>
      <c r="J43" s="210"/>
      <c r="K43" s="210"/>
      <c r="L43" s="210"/>
      <c r="M43" s="210"/>
      <c r="N43" s="210"/>
      <c r="O43" s="210"/>
      <c r="P43" s="210"/>
      <c r="Q43" s="210"/>
      <c r="R43" s="210"/>
      <c r="S43" s="210"/>
      <c r="T43" s="210"/>
      <c r="U43" s="210"/>
      <c r="V43" s="210"/>
      <c r="W43" s="210"/>
      <c r="X43" s="210"/>
      <c r="Y43" s="210"/>
      <c r="Z43" s="210"/>
      <c r="AA43" s="210"/>
      <c r="AB43" s="210"/>
      <c r="AC43" s="210"/>
      <c r="AD43" s="210"/>
      <c r="AE43" s="210"/>
      <c r="AF43" s="210"/>
      <c r="AG43" s="210"/>
    </row>
    <row r="44" spans="1:33" s="211" customFormat="1" ht="15">
      <c r="A44" s="210"/>
      <c r="B44" s="210"/>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row>
    <row r="45" spans="1:33" s="179" customFormat="1" ht="15">
      <c r="A45" s="164"/>
      <c r="B45" s="164"/>
      <c r="C45" s="164"/>
      <c r="D45" s="164"/>
      <c r="E45" s="164"/>
      <c r="F45" s="164"/>
      <c r="G45" s="164"/>
      <c r="H45" s="164"/>
      <c r="I45" s="164"/>
      <c r="J45" s="164"/>
      <c r="K45" s="164"/>
      <c r="L45" s="164"/>
      <c r="M45" s="164"/>
      <c r="N45" s="164"/>
      <c r="O45" s="164"/>
      <c r="P45" s="164"/>
      <c r="Q45" s="164"/>
      <c r="R45" s="164"/>
      <c r="S45" s="164"/>
      <c r="T45" s="164"/>
      <c r="U45" s="164"/>
      <c r="V45" s="164"/>
      <c r="W45" s="164"/>
      <c r="X45" s="164"/>
      <c r="Y45" s="164"/>
      <c r="Z45" s="164"/>
      <c r="AA45" s="164"/>
      <c r="AB45" s="164"/>
      <c r="AC45" s="164"/>
      <c r="AD45" s="164"/>
      <c r="AE45" s="164"/>
      <c r="AF45" s="164"/>
      <c r="AG45" s="164"/>
    </row>
    <row r="46" spans="1:33" s="179" customFormat="1" ht="15">
      <c r="A46" s="164"/>
      <c r="B46" s="164"/>
      <c r="C46" s="164"/>
      <c r="D46" s="164"/>
      <c r="E46" s="164"/>
      <c r="F46" s="164"/>
      <c r="G46" s="164"/>
      <c r="H46" s="164"/>
      <c r="I46" s="164"/>
      <c r="J46" s="164"/>
      <c r="K46" s="164"/>
      <c r="L46" s="164"/>
      <c r="M46" s="164"/>
      <c r="N46" s="164"/>
      <c r="O46" s="164"/>
      <c r="P46" s="164"/>
      <c r="Q46" s="164"/>
      <c r="R46" s="164"/>
      <c r="S46" s="164"/>
      <c r="T46" s="164"/>
      <c r="U46" s="164"/>
      <c r="V46" s="164"/>
      <c r="W46" s="164"/>
      <c r="X46" s="164"/>
      <c r="Y46" s="164"/>
      <c r="Z46" s="164"/>
      <c r="AA46" s="164"/>
      <c r="AB46" s="164"/>
      <c r="AC46" s="164"/>
      <c r="AD46" s="164"/>
      <c r="AE46" s="164"/>
      <c r="AF46" s="164"/>
      <c r="AG46" s="164"/>
    </row>
  </sheetData>
  <sheetProtection/>
  <mergeCells count="2">
    <mergeCell ref="A6:H6"/>
    <mergeCell ref="A11:A12"/>
  </mergeCells>
  <hyperlinks>
    <hyperlink ref="G1" location="ER!A1" display="ER"/>
  </hyperlinks>
  <printOptions/>
  <pageMargins left="0.7" right="0.7" top="0.75" bottom="0.75" header="0.3" footer="0.3"/>
  <pageSetup horizontalDpi="600" verticalDpi="600" orientation="portrait" r:id="rId1"/>
</worksheet>
</file>

<file path=xl/worksheets/sheet34.xml><?xml version="1.0" encoding="utf-8"?>
<worksheet xmlns="http://schemas.openxmlformats.org/spreadsheetml/2006/main" xmlns:r="http://schemas.openxmlformats.org/officeDocument/2006/relationships">
  <sheetPr codeName="Hoja33"/>
  <dimension ref="A1:X25"/>
  <sheetViews>
    <sheetView showGridLines="0" zoomScalePageLayoutView="0" workbookViewId="0" topLeftCell="A1">
      <selection activeCell="E1" sqref="E1"/>
    </sheetView>
  </sheetViews>
  <sheetFormatPr defaultColWidth="11.421875" defaultRowHeight="15"/>
  <cols>
    <col min="1" max="1" width="38.00390625" style="154" customWidth="1"/>
    <col min="2" max="2" width="14.7109375" style="154" customWidth="1"/>
    <col min="3" max="3" width="15.7109375" style="154" customWidth="1"/>
    <col min="4" max="4" width="4.8515625" style="154" customWidth="1"/>
    <col min="5" max="5" width="25.140625" style="154" customWidth="1"/>
    <col min="6" max="6" width="13.28125" style="154" customWidth="1"/>
    <col min="7" max="7" width="14.57421875" style="154" customWidth="1"/>
    <col min="8" max="20" width="11.421875" style="154" customWidth="1"/>
  </cols>
  <sheetData>
    <row r="1" spans="1:5" ht="15">
      <c r="A1" s="154" t="str">
        <f>Indice!C1</f>
        <v>IMPORT CENTER S.A.</v>
      </c>
      <c r="E1" s="177" t="s">
        <v>144</v>
      </c>
    </row>
    <row r="4" spans="1:24" ht="15">
      <c r="A4" s="756" t="s">
        <v>326</v>
      </c>
      <c r="B4" s="756"/>
      <c r="C4" s="756"/>
      <c r="D4" s="756"/>
      <c r="E4" s="756"/>
      <c r="F4" s="186"/>
      <c r="U4" s="154"/>
      <c r="V4" s="154"/>
      <c r="W4" s="154"/>
      <c r="X4" s="154"/>
    </row>
    <row r="5" spans="1:24" ht="15">
      <c r="A5" s="183"/>
      <c r="B5" s="185"/>
      <c r="C5" s="184"/>
      <c r="D5" s="184"/>
      <c r="E5" s="184"/>
      <c r="F5" s="186"/>
      <c r="U5" s="154"/>
      <c r="V5" s="154"/>
      <c r="W5" s="154"/>
      <c r="X5" s="154"/>
    </row>
    <row r="6" spans="1:24" s="235" customFormat="1" ht="15">
      <c r="A6" s="388" t="s">
        <v>245</v>
      </c>
      <c r="B6" s="757"/>
      <c r="C6" s="757"/>
      <c r="D6" s="184"/>
      <c r="E6" s="184"/>
      <c r="F6" s="186"/>
      <c r="G6" s="154"/>
      <c r="H6" s="154"/>
      <c r="I6" s="154"/>
      <c r="J6" s="154"/>
      <c r="K6" s="154"/>
      <c r="L6" s="154"/>
      <c r="M6" s="154"/>
      <c r="N6" s="154"/>
      <c r="O6" s="154"/>
      <c r="P6" s="154"/>
      <c r="Q6" s="154"/>
      <c r="R6" s="154"/>
      <c r="S6" s="154"/>
      <c r="T6" s="154"/>
      <c r="U6" s="154"/>
      <c r="V6" s="154"/>
      <c r="W6" s="154"/>
      <c r="X6" s="154"/>
    </row>
    <row r="7" spans="1:24" ht="15">
      <c r="A7" s="183"/>
      <c r="D7" s="184"/>
      <c r="E7" s="184"/>
      <c r="F7" s="186"/>
      <c r="U7" s="154"/>
      <c r="V7" s="154"/>
      <c r="W7" s="154"/>
      <c r="X7" s="154"/>
    </row>
    <row r="8" spans="1:24" ht="15">
      <c r="A8" s="187" t="s">
        <v>153</v>
      </c>
      <c r="B8" s="427">
        <f>_xlfn.IFERROR(IF(Indice!B6="","2XX2",YEAR(Indice!B6)),"2XX2")</f>
        <v>2021</v>
      </c>
      <c r="C8" s="427">
        <f>+_xlfn.IFERROR(YEAR(Indice!B6-365),"2XX1")</f>
        <v>2020</v>
      </c>
      <c r="D8" s="184"/>
      <c r="E8" s="187" t="s">
        <v>247</v>
      </c>
      <c r="F8" s="427">
        <f>_xlfn.IFERROR(IF(Indice!B6="","2XX2",YEAR(Indice!B6)),"2XX2")</f>
        <v>2021</v>
      </c>
      <c r="G8" s="427">
        <f>+_xlfn.IFERROR(YEAR(Indice!B6-365),"2XX1")</f>
        <v>2020</v>
      </c>
      <c r="U8" s="154"/>
      <c r="V8" s="154"/>
      <c r="W8" s="154"/>
      <c r="X8" s="154"/>
    </row>
    <row r="9" spans="1:24" ht="15">
      <c r="A9" s="183" t="s">
        <v>958</v>
      </c>
      <c r="B9" s="186"/>
      <c r="C9" s="186"/>
      <c r="D9" s="184"/>
      <c r="E9" s="183" t="s">
        <v>999</v>
      </c>
      <c r="F9" s="186">
        <v>9145</v>
      </c>
      <c r="G9" s="186">
        <v>0</v>
      </c>
      <c r="U9" s="154"/>
      <c r="V9" s="154"/>
      <c r="W9" s="154"/>
      <c r="X9" s="154"/>
    </row>
    <row r="10" spans="1:24" ht="15">
      <c r="A10" s="183" t="s">
        <v>959</v>
      </c>
      <c r="B10" s="186">
        <v>67796</v>
      </c>
      <c r="C10" s="186">
        <v>22446</v>
      </c>
      <c r="D10" s="184"/>
      <c r="E10" s="183"/>
      <c r="F10" s="186"/>
      <c r="G10" s="186"/>
      <c r="U10" s="154"/>
      <c r="V10" s="154"/>
      <c r="W10" s="154"/>
      <c r="X10" s="154"/>
    </row>
    <row r="11" spans="1:24" ht="15">
      <c r="A11" s="183" t="s">
        <v>960</v>
      </c>
      <c r="B11" s="186">
        <f>71158+900</f>
        <v>72058</v>
      </c>
      <c r="C11" s="186">
        <f>22580+499</f>
        <v>23079</v>
      </c>
      <c r="D11" s="184"/>
      <c r="E11" s="183"/>
      <c r="F11" s="186"/>
      <c r="G11" s="186"/>
      <c r="U11" s="154"/>
      <c r="V11" s="154"/>
      <c r="W11" s="154"/>
      <c r="X11" s="154"/>
    </row>
    <row r="12" spans="1:24" ht="15">
      <c r="A12" s="183" t="s">
        <v>961</v>
      </c>
      <c r="B12" s="186"/>
      <c r="C12" s="186">
        <v>6288</v>
      </c>
      <c r="D12" s="184"/>
      <c r="E12" s="183"/>
      <c r="F12" s="186"/>
      <c r="G12" s="186"/>
      <c r="U12" s="154"/>
      <c r="V12" s="154"/>
      <c r="W12" s="154"/>
      <c r="X12" s="154"/>
    </row>
    <row r="13" spans="1:24" ht="15">
      <c r="A13" s="183"/>
      <c r="B13" s="186"/>
      <c r="C13" s="186"/>
      <c r="D13" s="184"/>
      <c r="E13" s="183"/>
      <c r="F13" s="186"/>
      <c r="G13" s="186"/>
      <c r="U13" s="154"/>
      <c r="V13" s="154"/>
      <c r="W13" s="154"/>
      <c r="X13" s="154"/>
    </row>
    <row r="14" spans="1:24" ht="15">
      <c r="A14" s="183"/>
      <c r="B14" s="580"/>
      <c r="C14" s="186"/>
      <c r="D14" s="184"/>
      <c r="E14" s="183"/>
      <c r="F14" s="580"/>
      <c r="G14" s="186"/>
      <c r="U14" s="154"/>
      <c r="V14" s="154"/>
      <c r="W14" s="154"/>
      <c r="X14" s="154"/>
    </row>
    <row r="15" spans="1:24" ht="15">
      <c r="A15" s="183"/>
      <c r="B15" s="580"/>
      <c r="C15" s="186"/>
      <c r="D15" s="184"/>
      <c r="E15" s="183"/>
      <c r="F15" s="580"/>
      <c r="G15" s="186"/>
      <c r="U15" s="154"/>
      <c r="V15" s="154"/>
      <c r="W15" s="154"/>
      <c r="X15" s="154"/>
    </row>
    <row r="16" spans="1:24" ht="15">
      <c r="A16" s="187" t="s">
        <v>3</v>
      </c>
      <c r="B16" s="636">
        <f>SUM($B$9:B15)+1</f>
        <v>139855</v>
      </c>
      <c r="C16" s="636">
        <f>SUM($C$9:C15)</f>
        <v>51813</v>
      </c>
      <c r="D16" s="390"/>
      <c r="E16" s="452" t="s">
        <v>3</v>
      </c>
      <c r="F16" s="389">
        <f>SUM($F$9:F15)</f>
        <v>9145</v>
      </c>
      <c r="G16" s="389">
        <f>SUM($G$9:G15)</f>
        <v>0</v>
      </c>
      <c r="U16" s="154"/>
      <c r="V16" s="154"/>
      <c r="W16" s="154"/>
      <c r="X16" s="154"/>
    </row>
    <row r="17" spans="4:24" s="235" customFormat="1" ht="15">
      <c r="D17" s="184"/>
      <c r="E17" s="184"/>
      <c r="F17" s="186"/>
      <c r="G17" s="154"/>
      <c r="H17" s="154"/>
      <c r="I17" s="154"/>
      <c r="J17" s="154"/>
      <c r="K17" s="154"/>
      <c r="L17" s="154"/>
      <c r="M17" s="154"/>
      <c r="N17" s="154"/>
      <c r="O17" s="154"/>
      <c r="P17" s="154"/>
      <c r="Q17" s="154"/>
      <c r="R17" s="154"/>
      <c r="S17" s="154"/>
      <c r="T17" s="154"/>
      <c r="U17" s="154"/>
      <c r="V17" s="154"/>
      <c r="W17" s="154"/>
      <c r="X17" s="154"/>
    </row>
    <row r="18" spans="4:24" s="235" customFormat="1" ht="15">
      <c r="D18" s="184"/>
      <c r="E18" s="184"/>
      <c r="F18" s="186"/>
      <c r="G18" s="154"/>
      <c r="H18" s="154"/>
      <c r="I18" s="154"/>
      <c r="J18" s="154"/>
      <c r="K18" s="154"/>
      <c r="L18" s="154"/>
      <c r="M18" s="154"/>
      <c r="N18" s="154"/>
      <c r="O18" s="154"/>
      <c r="P18" s="154"/>
      <c r="Q18" s="154"/>
      <c r="R18" s="154"/>
      <c r="S18" s="154"/>
      <c r="T18" s="154"/>
      <c r="U18" s="154"/>
      <c r="V18" s="154"/>
      <c r="W18" s="154"/>
      <c r="X18" s="154"/>
    </row>
    <row r="19" spans="4:24" s="235" customFormat="1" ht="15">
      <c r="D19" s="184"/>
      <c r="E19" s="184"/>
      <c r="F19" s="186"/>
      <c r="G19" s="154"/>
      <c r="H19" s="154"/>
      <c r="I19" s="154"/>
      <c r="J19" s="154"/>
      <c r="K19" s="154"/>
      <c r="L19" s="154"/>
      <c r="M19" s="154"/>
      <c r="N19" s="154"/>
      <c r="O19" s="154"/>
      <c r="P19" s="154"/>
      <c r="Q19" s="154"/>
      <c r="R19" s="154"/>
      <c r="S19" s="154"/>
      <c r="T19" s="154"/>
      <c r="U19" s="154"/>
      <c r="V19" s="154"/>
      <c r="W19" s="154"/>
      <c r="X19" s="154"/>
    </row>
    <row r="20" spans="4:24" s="235" customFormat="1" ht="15">
      <c r="D20" s="184"/>
      <c r="E20" s="184"/>
      <c r="F20" s="186"/>
      <c r="G20" s="154"/>
      <c r="H20" s="154"/>
      <c r="I20" s="154"/>
      <c r="J20" s="154"/>
      <c r="K20" s="154"/>
      <c r="L20" s="154"/>
      <c r="M20" s="154"/>
      <c r="N20" s="154"/>
      <c r="O20" s="154"/>
      <c r="P20" s="154"/>
      <c r="Q20" s="154"/>
      <c r="R20" s="154"/>
      <c r="S20" s="154"/>
      <c r="T20" s="154"/>
      <c r="U20" s="154"/>
      <c r="V20" s="154"/>
      <c r="W20" s="154"/>
      <c r="X20" s="154"/>
    </row>
    <row r="21" spans="4:24" s="235" customFormat="1" ht="15">
      <c r="D21" s="184"/>
      <c r="E21" s="184"/>
      <c r="F21" s="186"/>
      <c r="G21" s="154"/>
      <c r="H21" s="154"/>
      <c r="I21" s="154"/>
      <c r="J21" s="154"/>
      <c r="K21" s="154"/>
      <c r="L21" s="154"/>
      <c r="M21" s="154"/>
      <c r="N21" s="154"/>
      <c r="O21" s="154"/>
      <c r="P21" s="154"/>
      <c r="Q21" s="154"/>
      <c r="R21" s="154"/>
      <c r="S21" s="154"/>
      <c r="T21" s="154"/>
      <c r="U21" s="154"/>
      <c r="V21" s="154"/>
      <c r="W21" s="154"/>
      <c r="X21" s="154"/>
    </row>
    <row r="22" spans="4:24" s="235" customFormat="1" ht="15">
      <c r="D22" s="184"/>
      <c r="E22" s="184"/>
      <c r="F22" s="186"/>
      <c r="G22" s="154"/>
      <c r="H22" s="154"/>
      <c r="I22" s="154"/>
      <c r="J22" s="154"/>
      <c r="K22" s="154"/>
      <c r="L22" s="154"/>
      <c r="M22" s="154"/>
      <c r="N22" s="154"/>
      <c r="O22" s="154"/>
      <c r="P22" s="154"/>
      <c r="Q22" s="154"/>
      <c r="R22" s="154"/>
      <c r="S22" s="154"/>
      <c r="T22" s="154"/>
      <c r="U22" s="154"/>
      <c r="V22" s="154"/>
      <c r="W22" s="154"/>
      <c r="X22" s="154"/>
    </row>
    <row r="23" spans="4:24" s="235" customFormat="1" ht="15">
      <c r="D23" s="184"/>
      <c r="E23" s="184"/>
      <c r="F23" s="186"/>
      <c r="G23" s="154"/>
      <c r="H23" s="154"/>
      <c r="I23" s="154"/>
      <c r="J23" s="154"/>
      <c r="K23" s="154"/>
      <c r="L23" s="154"/>
      <c r="M23" s="154"/>
      <c r="N23" s="154"/>
      <c r="O23" s="154"/>
      <c r="P23" s="154"/>
      <c r="Q23" s="154"/>
      <c r="R23" s="154"/>
      <c r="S23" s="154"/>
      <c r="T23" s="154"/>
      <c r="U23" s="154"/>
      <c r="V23" s="154"/>
      <c r="W23" s="154"/>
      <c r="X23" s="154"/>
    </row>
    <row r="24" spans="4:24" s="235" customFormat="1" ht="15">
      <c r="D24" s="184"/>
      <c r="E24" s="184"/>
      <c r="F24" s="186"/>
      <c r="G24" s="154"/>
      <c r="H24" s="154"/>
      <c r="I24" s="154"/>
      <c r="J24" s="154"/>
      <c r="K24" s="154"/>
      <c r="L24" s="154"/>
      <c r="M24" s="154"/>
      <c r="N24" s="154"/>
      <c r="O24" s="154"/>
      <c r="P24" s="154"/>
      <c r="Q24" s="154"/>
      <c r="R24" s="154"/>
      <c r="S24" s="154"/>
      <c r="T24" s="154"/>
      <c r="U24" s="154"/>
      <c r="V24" s="154"/>
      <c r="W24" s="154"/>
      <c r="X24" s="154"/>
    </row>
    <row r="25" spans="4:24" s="235" customFormat="1" ht="15">
      <c r="D25" s="184"/>
      <c r="E25" s="184"/>
      <c r="F25" s="186"/>
      <c r="G25" s="154"/>
      <c r="H25" s="154"/>
      <c r="I25" s="154"/>
      <c r="J25" s="154"/>
      <c r="K25" s="154"/>
      <c r="L25" s="154"/>
      <c r="M25" s="154"/>
      <c r="N25" s="154"/>
      <c r="O25" s="154"/>
      <c r="P25" s="154"/>
      <c r="Q25" s="154"/>
      <c r="R25" s="154"/>
      <c r="S25" s="154"/>
      <c r="T25" s="154"/>
      <c r="U25" s="154"/>
      <c r="V25" s="154"/>
      <c r="W25" s="154"/>
      <c r="X25" s="154"/>
    </row>
  </sheetData>
  <sheetProtection/>
  <mergeCells count="2">
    <mergeCell ref="A4:E4"/>
    <mergeCell ref="B6:C6"/>
  </mergeCells>
  <hyperlinks>
    <hyperlink ref="E1" location="ER!A1" display="ER"/>
  </hyperlink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codeName="Hoja34"/>
  <dimension ref="A1:AE23"/>
  <sheetViews>
    <sheetView showGridLines="0" zoomScalePageLayoutView="0" workbookViewId="0" topLeftCell="A1">
      <selection activeCell="F12" sqref="F12"/>
    </sheetView>
  </sheetViews>
  <sheetFormatPr defaultColWidth="11.421875" defaultRowHeight="15"/>
  <cols>
    <col min="1" max="1" width="35.8515625" style="154" customWidth="1"/>
    <col min="2" max="2" width="18.421875" style="154" customWidth="1"/>
    <col min="3" max="3" width="16.7109375" style="154" customWidth="1"/>
    <col min="4" max="4" width="11.421875" style="154" customWidth="1"/>
    <col min="5" max="5" width="25.7109375" style="154" customWidth="1"/>
    <col min="6" max="6" width="17.28125" style="154" customWidth="1"/>
    <col min="7" max="7" width="16.00390625" style="154" customWidth="1"/>
    <col min="8" max="15" width="11.421875" style="154" customWidth="1"/>
  </cols>
  <sheetData>
    <row r="1" spans="1:5" ht="15">
      <c r="A1" s="154" t="str">
        <f>Indice!C1</f>
        <v>IMPORT CENTER S.A.</v>
      </c>
      <c r="E1" s="177" t="s">
        <v>144</v>
      </c>
    </row>
    <row r="5" spans="1:30" ht="15">
      <c r="A5" s="337" t="s">
        <v>327</v>
      </c>
      <c r="B5" s="337"/>
      <c r="C5" s="337"/>
      <c r="D5" s="337"/>
      <c r="E5" s="337"/>
      <c r="F5" s="337"/>
      <c r="G5" s="337"/>
      <c r="H5" s="34"/>
      <c r="I5" s="34"/>
      <c r="J5" s="34"/>
      <c r="K5" s="34"/>
      <c r="L5" s="34"/>
      <c r="M5" s="34"/>
      <c r="N5" s="34"/>
      <c r="O5" s="34"/>
      <c r="P5" s="34"/>
      <c r="Q5" s="34"/>
      <c r="R5" s="34"/>
      <c r="S5" s="34"/>
      <c r="T5" s="34"/>
      <c r="U5" s="34"/>
      <c r="V5" s="34"/>
      <c r="W5" s="34"/>
      <c r="X5" s="34"/>
      <c r="Y5" s="34"/>
      <c r="Z5" s="34"/>
      <c r="AA5" s="34"/>
      <c r="AB5" s="34"/>
      <c r="AC5" s="34"/>
      <c r="AD5" s="34"/>
    </row>
    <row r="6" ht="15">
      <c r="A6" s="365" t="s">
        <v>245</v>
      </c>
    </row>
    <row r="7" ht="15">
      <c r="C7" s="365"/>
    </row>
    <row r="8" spans="1:31" ht="15">
      <c r="A8" s="182" t="s">
        <v>155</v>
      </c>
      <c r="B8" s="427">
        <f>_xlfn.IFERROR(IF(Indice!B6="","2XX2",YEAR(Indice!B6)),"2XX2")</f>
        <v>2021</v>
      </c>
      <c r="C8" s="427">
        <f>+_xlfn.IFERROR(YEAR(Indice!B6-365),"2XX1")</f>
        <v>2020</v>
      </c>
      <c r="D8" s="34"/>
      <c r="E8" s="182" t="s">
        <v>157</v>
      </c>
      <c r="F8" s="427">
        <f>_xlfn.IFERROR(IF(Indice!B6="","2XX2",YEAR(Indice!B6)),"2XX2")</f>
        <v>2021</v>
      </c>
      <c r="G8" s="427">
        <f>+_xlfn.IFERROR(YEAR(Indice!B6-365),"2XX1")</f>
        <v>2020</v>
      </c>
      <c r="H8" s="34"/>
      <c r="I8" s="34"/>
      <c r="J8" s="34"/>
      <c r="K8" s="34"/>
      <c r="L8" s="34"/>
      <c r="M8" s="34"/>
      <c r="N8" s="34"/>
      <c r="O8" s="34"/>
      <c r="P8" s="34"/>
      <c r="Q8" s="34"/>
      <c r="R8" s="34"/>
      <c r="S8" s="34"/>
      <c r="T8" s="34"/>
      <c r="U8" s="34"/>
      <c r="V8" s="34"/>
      <c r="W8" s="34"/>
      <c r="X8" s="34"/>
      <c r="Y8" s="34"/>
      <c r="Z8" s="34"/>
      <c r="AA8" s="34"/>
      <c r="AB8" s="34"/>
      <c r="AC8" s="34"/>
      <c r="AD8" s="34"/>
      <c r="AE8" s="34"/>
    </row>
    <row r="9" spans="1:31" ht="15">
      <c r="A9" s="34" t="s">
        <v>958</v>
      </c>
      <c r="B9" s="186">
        <v>216658</v>
      </c>
      <c r="C9" s="186">
        <v>338564</v>
      </c>
      <c r="D9" s="34"/>
      <c r="E9" s="34" t="s">
        <v>962</v>
      </c>
      <c r="F9" s="577">
        <v>1230037</v>
      </c>
      <c r="G9" s="577">
        <v>1672250</v>
      </c>
      <c r="H9" s="34"/>
      <c r="I9" s="34"/>
      <c r="J9" s="34"/>
      <c r="K9" s="34"/>
      <c r="L9" s="34"/>
      <c r="M9" s="34"/>
      <c r="N9" s="34"/>
      <c r="O9" s="34"/>
      <c r="P9" s="34"/>
      <c r="Q9" s="34"/>
      <c r="R9" s="34"/>
      <c r="S9" s="34"/>
      <c r="T9" s="34"/>
      <c r="U9" s="34"/>
      <c r="V9" s="34"/>
      <c r="W9" s="34"/>
      <c r="X9" s="34"/>
      <c r="Y9" s="34"/>
      <c r="Z9" s="34"/>
      <c r="AA9" s="34"/>
      <c r="AB9" s="34"/>
      <c r="AC9" s="34"/>
      <c r="AD9" s="34"/>
      <c r="AE9" s="34"/>
    </row>
    <row r="10" spans="1:31" s="235" customFormat="1" ht="15">
      <c r="A10" s="34"/>
      <c r="B10" s="577"/>
      <c r="C10" s="577"/>
      <c r="D10" s="34"/>
      <c r="E10" s="34" t="s">
        <v>963</v>
      </c>
      <c r="F10" s="577">
        <v>213754</v>
      </c>
      <c r="G10" s="577">
        <v>177879</v>
      </c>
      <c r="H10" s="34"/>
      <c r="I10" s="34"/>
      <c r="J10" s="34"/>
      <c r="K10" s="34"/>
      <c r="L10" s="34"/>
      <c r="M10" s="34"/>
      <c r="N10" s="34"/>
      <c r="O10" s="34"/>
      <c r="P10" s="34"/>
      <c r="Q10" s="34"/>
      <c r="R10" s="34"/>
      <c r="S10" s="34"/>
      <c r="T10" s="34"/>
      <c r="U10" s="34"/>
      <c r="V10" s="34"/>
      <c r="W10" s="34"/>
      <c r="X10" s="34"/>
      <c r="Y10" s="34"/>
      <c r="Z10" s="34"/>
      <c r="AA10" s="34"/>
      <c r="AB10" s="34"/>
      <c r="AC10" s="34"/>
      <c r="AD10" s="34"/>
      <c r="AE10" s="34"/>
    </row>
    <row r="11" spans="1:31" s="235" customFormat="1" ht="15">
      <c r="A11" s="34"/>
      <c r="B11" s="577"/>
      <c r="C11" s="577"/>
      <c r="D11" s="34"/>
      <c r="E11" s="34" t="s">
        <v>964</v>
      </c>
      <c r="F11" s="577">
        <v>790657</v>
      </c>
      <c r="G11" s="577">
        <v>306444</v>
      </c>
      <c r="H11" s="34"/>
      <c r="I11" s="34"/>
      <c r="J11" s="34"/>
      <c r="K11" s="34"/>
      <c r="L11" s="34"/>
      <c r="M11" s="34"/>
      <c r="N11" s="34"/>
      <c r="O11" s="34"/>
      <c r="P11" s="34"/>
      <c r="Q11" s="34"/>
      <c r="R11" s="34"/>
      <c r="S11" s="34"/>
      <c r="T11" s="34"/>
      <c r="U11" s="34"/>
      <c r="V11" s="34"/>
      <c r="W11" s="34"/>
      <c r="X11" s="34"/>
      <c r="Y11" s="34"/>
      <c r="Z11" s="34"/>
      <c r="AA11" s="34"/>
      <c r="AB11" s="34"/>
      <c r="AC11" s="34"/>
      <c r="AD11" s="34"/>
      <c r="AE11" s="34"/>
    </row>
    <row r="12" spans="2:31" ht="15">
      <c r="B12" s="577"/>
      <c r="C12" s="577"/>
      <c r="D12" s="34"/>
      <c r="E12" s="154" t="s">
        <v>958</v>
      </c>
      <c r="F12" s="577">
        <v>898538</v>
      </c>
      <c r="G12" s="577">
        <v>569476</v>
      </c>
      <c r="H12" s="34"/>
      <c r="I12" s="34"/>
      <c r="J12" s="34"/>
      <c r="K12" s="34"/>
      <c r="L12" s="34"/>
      <c r="M12" s="34"/>
      <c r="N12" s="34"/>
      <c r="O12" s="34"/>
      <c r="P12" s="34"/>
      <c r="Q12" s="34"/>
      <c r="R12" s="34"/>
      <c r="S12" s="34"/>
      <c r="T12" s="34"/>
      <c r="U12" s="34"/>
      <c r="V12" s="34"/>
      <c r="W12" s="34"/>
      <c r="X12" s="34"/>
      <c r="Y12" s="34"/>
      <c r="Z12" s="34"/>
      <c r="AA12" s="34"/>
      <c r="AB12" s="34"/>
      <c r="AC12" s="34"/>
      <c r="AD12" s="34"/>
      <c r="AE12" s="34"/>
    </row>
    <row r="13" spans="1:31" ht="15">
      <c r="A13" s="34"/>
      <c r="B13" s="577"/>
      <c r="C13" s="577"/>
      <c r="D13" s="34"/>
      <c r="E13" s="34"/>
      <c r="F13" s="577"/>
      <c r="G13" s="577"/>
      <c r="H13" s="34"/>
      <c r="I13" s="34"/>
      <c r="J13" s="34"/>
      <c r="K13" s="34"/>
      <c r="L13" s="34"/>
      <c r="M13" s="34"/>
      <c r="N13" s="34"/>
      <c r="O13" s="34"/>
      <c r="P13" s="34"/>
      <c r="Q13" s="34"/>
      <c r="R13" s="34"/>
      <c r="S13" s="34"/>
      <c r="T13" s="34"/>
      <c r="U13" s="34"/>
      <c r="V13" s="34"/>
      <c r="W13" s="34"/>
      <c r="X13" s="34"/>
      <c r="Y13" s="34"/>
      <c r="Z13" s="34"/>
      <c r="AA13" s="34"/>
      <c r="AB13" s="34"/>
      <c r="AC13" s="34"/>
      <c r="AD13" s="34"/>
      <c r="AE13" s="34"/>
    </row>
    <row r="14" spans="1:31" ht="15">
      <c r="A14" s="182" t="s">
        <v>156</v>
      </c>
      <c r="B14" s="188">
        <f>SUM($B9:B13)</f>
        <v>216658</v>
      </c>
      <c r="C14" s="188">
        <f>SUM($C9:C13)</f>
        <v>338564</v>
      </c>
      <c r="D14" s="34"/>
      <c r="E14" s="182" t="s">
        <v>256</v>
      </c>
      <c r="F14" s="581">
        <f>SUM($F9:F13)</f>
        <v>3132986</v>
      </c>
      <c r="G14" s="581">
        <f>SUM($G9:G13)</f>
        <v>2726049</v>
      </c>
      <c r="H14" s="34"/>
      <c r="I14" s="34"/>
      <c r="J14" s="34"/>
      <c r="K14" s="34"/>
      <c r="L14" s="34"/>
      <c r="M14" s="34"/>
      <c r="N14" s="34"/>
      <c r="O14" s="34"/>
      <c r="P14" s="34"/>
      <c r="Q14" s="34"/>
      <c r="R14" s="34"/>
      <c r="S14" s="34"/>
      <c r="T14" s="34"/>
      <c r="U14" s="34"/>
      <c r="V14" s="34"/>
      <c r="W14" s="34"/>
      <c r="X14" s="34"/>
      <c r="Y14" s="34"/>
      <c r="Z14" s="34"/>
      <c r="AA14" s="34"/>
      <c r="AB14" s="34"/>
      <c r="AC14" s="34"/>
      <c r="AD14" s="34"/>
      <c r="AE14" s="34"/>
    </row>
    <row r="15" spans="1:31" ht="15">
      <c r="A15" s="34"/>
      <c r="B15" s="189"/>
      <c r="C15" s="189"/>
      <c r="D15" s="34"/>
      <c r="F15" s="570"/>
      <c r="G15" s="570"/>
      <c r="H15" s="34"/>
      <c r="I15" s="34"/>
      <c r="J15" s="34"/>
      <c r="K15" s="34"/>
      <c r="L15" s="34"/>
      <c r="M15" s="34"/>
      <c r="N15" s="34"/>
      <c r="O15" s="34"/>
      <c r="P15" s="34"/>
      <c r="Q15" s="34"/>
      <c r="R15" s="34"/>
      <c r="S15" s="34"/>
      <c r="T15" s="34"/>
      <c r="U15" s="34"/>
      <c r="V15" s="34"/>
      <c r="W15" s="34"/>
      <c r="X15" s="34"/>
      <c r="Y15" s="34"/>
      <c r="Z15" s="34"/>
      <c r="AA15" s="34"/>
      <c r="AB15" s="34"/>
      <c r="AC15" s="34"/>
      <c r="AD15" s="34"/>
      <c r="AE15" s="34"/>
    </row>
    <row r="17" spans="4:31" ht="15">
      <c r="D17" s="34"/>
      <c r="E17" s="34"/>
      <c r="F17" s="34"/>
      <c r="G17" s="34"/>
      <c r="H17" s="34"/>
      <c r="I17" s="34"/>
      <c r="J17" s="34"/>
      <c r="K17" s="34"/>
      <c r="L17" s="34"/>
      <c r="M17" s="34"/>
      <c r="N17" s="34"/>
      <c r="O17" s="34"/>
      <c r="P17" s="34"/>
      <c r="Q17" s="34"/>
      <c r="R17" s="34"/>
      <c r="S17" s="34"/>
      <c r="T17" s="34"/>
      <c r="U17" s="34"/>
      <c r="V17" s="34"/>
      <c r="W17" s="34"/>
      <c r="X17" s="34"/>
      <c r="Y17" s="34"/>
      <c r="Z17" s="34"/>
      <c r="AA17" s="34"/>
      <c r="AB17" s="34"/>
      <c r="AC17" s="34"/>
      <c r="AD17" s="34"/>
      <c r="AE17" s="34"/>
    </row>
    <row r="18" spans="4:31" ht="15">
      <c r="D18" s="34"/>
      <c r="E18" s="34"/>
      <c r="F18" s="34"/>
      <c r="G18" s="34"/>
      <c r="H18" s="34"/>
      <c r="I18" s="34"/>
      <c r="J18" s="34"/>
      <c r="K18" s="34"/>
      <c r="L18" s="34"/>
      <c r="M18" s="34"/>
      <c r="N18" s="34"/>
      <c r="O18" s="34"/>
      <c r="P18" s="34"/>
      <c r="Q18" s="34"/>
      <c r="R18" s="34"/>
      <c r="S18" s="34"/>
      <c r="T18" s="34"/>
      <c r="U18" s="34"/>
      <c r="V18" s="34"/>
      <c r="W18" s="34"/>
      <c r="X18" s="34"/>
      <c r="Y18" s="34"/>
      <c r="Z18" s="34"/>
      <c r="AA18" s="34"/>
      <c r="AB18" s="34"/>
      <c r="AC18" s="34"/>
      <c r="AD18" s="34"/>
      <c r="AE18" s="34"/>
    </row>
    <row r="19" spans="4:31" s="235" customFormat="1" ht="15">
      <c r="D19" s="34"/>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row>
    <row r="20" spans="4:31" s="235" customFormat="1" ht="15">
      <c r="D20" s="34"/>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row>
    <row r="21" spans="4:31" ht="15">
      <c r="D21" s="34"/>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row>
    <row r="22" spans="4:31" ht="15">
      <c r="D22" s="34"/>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row>
    <row r="23" spans="4:31" ht="15">
      <c r="D23" s="34"/>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row>
  </sheetData>
  <sheetProtection/>
  <hyperlinks>
    <hyperlink ref="E1" location="ER!A1" display="ER"/>
  </hyperlink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codeName="Hoja35"/>
  <dimension ref="A1:AB17"/>
  <sheetViews>
    <sheetView zoomScalePageLayoutView="0" workbookViewId="0" topLeftCell="A1">
      <selection activeCell="B9" sqref="B9"/>
    </sheetView>
  </sheetViews>
  <sheetFormatPr defaultColWidth="11.421875" defaultRowHeight="15"/>
  <cols>
    <col min="1" max="1" width="38.00390625" style="154" customWidth="1"/>
    <col min="2" max="2" width="16.57421875" style="154" customWidth="1"/>
    <col min="3" max="3" width="18.421875" style="154" customWidth="1"/>
    <col min="4" max="25" width="11.421875" style="154" customWidth="1"/>
  </cols>
  <sheetData>
    <row r="1" spans="1:5" ht="15">
      <c r="A1" s="154" t="str">
        <f>Indice!C1</f>
        <v>IMPORT CENTER S.A.</v>
      </c>
      <c r="E1" s="177" t="s">
        <v>144</v>
      </c>
    </row>
    <row r="4" spans="1:28" s="364" customFormat="1" ht="15.75" customHeight="1">
      <c r="A4" s="369" t="s">
        <v>201</v>
      </c>
      <c r="B4" s="453"/>
      <c r="C4" s="453"/>
      <c r="D4" s="453"/>
      <c r="E4" s="453"/>
      <c r="F4" s="183"/>
      <c r="G4" s="186"/>
      <c r="H4" s="184"/>
      <c r="I4" s="154"/>
      <c r="J4" s="154"/>
      <c r="K4" s="154"/>
      <c r="L4" s="154"/>
      <c r="M4" s="154"/>
      <c r="N4" s="154"/>
      <c r="O4" s="154"/>
      <c r="P4" s="154"/>
      <c r="Q4" s="154"/>
      <c r="R4" s="154"/>
      <c r="S4" s="154"/>
      <c r="T4" s="154"/>
      <c r="U4" s="154"/>
      <c r="V4" s="154"/>
      <c r="W4" s="154"/>
      <c r="X4" s="154"/>
      <c r="Y4" s="154"/>
      <c r="Z4" s="154"/>
      <c r="AA4" s="154"/>
      <c r="AB4" s="154"/>
    </row>
    <row r="5" spans="1:28" s="235" customFormat="1" ht="15.75" customHeight="1">
      <c r="A5" s="454" t="s">
        <v>245</v>
      </c>
      <c r="B5" s="454"/>
      <c r="C5" s="262"/>
      <c r="D5" s="262"/>
      <c r="E5" s="262"/>
      <c r="F5" s="183"/>
      <c r="G5" s="186"/>
      <c r="H5" s="184"/>
      <c r="I5" s="154"/>
      <c r="J5" s="154"/>
      <c r="K5" s="154"/>
      <c r="L5" s="154"/>
      <c r="M5" s="154"/>
      <c r="N5" s="154"/>
      <c r="O5" s="154"/>
      <c r="P5" s="154"/>
      <c r="Q5" s="154"/>
      <c r="R5" s="154"/>
      <c r="S5" s="154"/>
      <c r="T5" s="154"/>
      <c r="U5" s="154"/>
      <c r="V5" s="154"/>
      <c r="W5" s="154"/>
      <c r="X5" s="154"/>
      <c r="Y5" s="154"/>
      <c r="Z5" s="154"/>
      <c r="AA5" s="154"/>
      <c r="AB5" s="154"/>
    </row>
    <row r="6" spans="1:28" ht="15">
      <c r="A6" s="183"/>
      <c r="B6" s="757"/>
      <c r="C6" s="757"/>
      <c r="D6" s="184"/>
      <c r="E6" s="184"/>
      <c r="F6" s="183"/>
      <c r="G6" s="186"/>
      <c r="H6" s="184"/>
      <c r="Z6" s="154"/>
      <c r="AA6" s="154"/>
      <c r="AB6" s="154"/>
    </row>
    <row r="7" spans="1:28" ht="15">
      <c r="A7" s="183"/>
      <c r="D7" s="184"/>
      <c r="E7" s="184"/>
      <c r="F7" s="183"/>
      <c r="G7" s="186"/>
      <c r="H7" s="184"/>
      <c r="Z7" s="154"/>
      <c r="AA7" s="154"/>
      <c r="AB7" s="154"/>
    </row>
    <row r="8" spans="1:28" ht="15">
      <c r="A8" s="187" t="s">
        <v>158</v>
      </c>
      <c r="B8" s="427">
        <f>_xlfn.IFERROR(IF(Indice!B6="","2XX2",YEAR(Indice!B6)),"2XX2")</f>
        <v>2021</v>
      </c>
      <c r="C8" s="427">
        <f>+_xlfn.IFERROR(YEAR(Indice!B6-365),"2XX1")</f>
        <v>2020</v>
      </c>
      <c r="D8" s="184"/>
      <c r="E8" s="184"/>
      <c r="F8" s="183"/>
      <c r="G8" s="186"/>
      <c r="H8" s="184"/>
      <c r="Z8" s="154"/>
      <c r="AA8" s="154"/>
      <c r="AB8" s="154"/>
    </row>
    <row r="9" spans="1:28" ht="15">
      <c r="A9" s="183" t="s">
        <v>150</v>
      </c>
      <c r="B9" s="183"/>
      <c r="C9" s="183"/>
      <c r="D9" s="184"/>
      <c r="E9" s="184"/>
      <c r="F9" s="183"/>
      <c r="G9" s="186"/>
      <c r="H9" s="184"/>
      <c r="Z9" s="154"/>
      <c r="AA9" s="154"/>
      <c r="AB9" s="154"/>
    </row>
    <row r="10" spans="1:28" ht="15">
      <c r="A10" s="183"/>
      <c r="B10" s="183"/>
      <c r="C10" s="183"/>
      <c r="D10" s="184"/>
      <c r="E10" s="184"/>
      <c r="F10" s="183"/>
      <c r="G10" s="186"/>
      <c r="H10" s="184"/>
      <c r="Z10" s="154"/>
      <c r="AA10" s="154"/>
      <c r="AB10" s="154"/>
    </row>
    <row r="11" spans="1:28" ht="15">
      <c r="A11" s="183"/>
      <c r="B11" s="183"/>
      <c r="C11" s="183"/>
      <c r="D11" s="184"/>
      <c r="E11" s="184"/>
      <c r="F11" s="183"/>
      <c r="G11" s="186"/>
      <c r="H11" s="184"/>
      <c r="Z11" s="154"/>
      <c r="AA11" s="154"/>
      <c r="AB11" s="154"/>
    </row>
    <row r="12" spans="1:28" ht="15">
      <c r="A12" s="183"/>
      <c r="B12" s="183"/>
      <c r="C12" s="183"/>
      <c r="D12" s="184"/>
      <c r="E12" s="184"/>
      <c r="F12" s="183"/>
      <c r="G12" s="186"/>
      <c r="H12" s="184"/>
      <c r="Z12" s="154"/>
      <c r="AA12" s="154"/>
      <c r="AB12" s="154"/>
    </row>
    <row r="13" spans="1:28" ht="15">
      <c r="A13" s="183"/>
      <c r="B13" s="183"/>
      <c r="C13" s="183"/>
      <c r="D13" s="184"/>
      <c r="E13" s="184"/>
      <c r="F13" s="183"/>
      <c r="G13" s="186"/>
      <c r="H13" s="184"/>
      <c r="Z13" s="154"/>
      <c r="AA13" s="154"/>
      <c r="AB13" s="154"/>
    </row>
    <row r="14" spans="1:28" ht="15">
      <c r="A14" s="183"/>
      <c r="B14" s="185"/>
      <c r="C14" s="183"/>
      <c r="D14" s="184"/>
      <c r="E14" s="184"/>
      <c r="F14" s="183"/>
      <c r="G14" s="186"/>
      <c r="H14" s="184"/>
      <c r="Z14" s="154"/>
      <c r="AA14" s="154"/>
      <c r="AB14" s="154"/>
    </row>
    <row r="15" spans="1:28" ht="15">
      <c r="A15" s="183"/>
      <c r="B15" s="185"/>
      <c r="C15" s="183"/>
      <c r="D15" s="184"/>
      <c r="E15" s="184"/>
      <c r="F15" s="183"/>
      <c r="G15" s="186"/>
      <c r="H15" s="184"/>
      <c r="Z15" s="154"/>
      <c r="AA15" s="154"/>
      <c r="AB15" s="154"/>
    </row>
    <row r="16" spans="1:28" ht="15">
      <c r="A16" s="187" t="s">
        <v>3</v>
      </c>
      <c r="B16" s="188">
        <f>SUM($B9:B15)</f>
        <v>0</v>
      </c>
      <c r="C16" s="188">
        <f>SUM($C9:C15)</f>
        <v>0</v>
      </c>
      <c r="D16" s="184"/>
      <c r="E16" s="184"/>
      <c r="F16" s="183"/>
      <c r="G16" s="186"/>
      <c r="H16" s="184"/>
      <c r="Z16" s="154"/>
      <c r="AA16" s="154"/>
      <c r="AB16" s="154"/>
    </row>
    <row r="17" spans="1:28" ht="15">
      <c r="A17" s="183"/>
      <c r="B17" s="185"/>
      <c r="C17" s="184"/>
      <c r="D17" s="184"/>
      <c r="E17" s="184"/>
      <c r="F17" s="183"/>
      <c r="G17" s="186"/>
      <c r="H17" s="184"/>
      <c r="Z17" s="154"/>
      <c r="AA17" s="154"/>
      <c r="AB17" s="154"/>
    </row>
  </sheetData>
  <sheetProtection/>
  <mergeCells count="1">
    <mergeCell ref="B6:C6"/>
  </mergeCells>
  <hyperlinks>
    <hyperlink ref="E1" location="ER!A1" display="ER"/>
  </hyperlinks>
  <printOptions/>
  <pageMargins left="0.7" right="0.7" top="0.75" bottom="0.75" header="0.3" footer="0.3"/>
  <pageSetup orientation="portrait" paperSize="9"/>
</worksheet>
</file>

<file path=xl/worksheets/sheet37.xml><?xml version="1.0" encoding="utf-8"?>
<worksheet xmlns="http://schemas.openxmlformats.org/spreadsheetml/2006/main" xmlns:r="http://schemas.openxmlformats.org/officeDocument/2006/relationships">
  <sheetPr codeName="Hoja36"/>
  <dimension ref="A1:V17"/>
  <sheetViews>
    <sheetView zoomScalePageLayoutView="0" workbookViewId="0" topLeftCell="A1">
      <selection activeCell="B9" sqref="B9"/>
    </sheetView>
  </sheetViews>
  <sheetFormatPr defaultColWidth="11.421875" defaultRowHeight="15"/>
  <cols>
    <col min="1" max="1" width="38.00390625" style="154" customWidth="1"/>
    <col min="2" max="2" width="18.421875" style="154" customWidth="1"/>
    <col min="3" max="3" width="17.7109375" style="154" customWidth="1"/>
    <col min="4" max="22" width="11.421875" style="154" customWidth="1"/>
  </cols>
  <sheetData>
    <row r="1" spans="1:5" ht="15">
      <c r="A1" s="154" t="str">
        <f>Indice!C1</f>
        <v>IMPORT CENTER S.A.</v>
      </c>
      <c r="E1" s="177" t="s">
        <v>144</v>
      </c>
    </row>
    <row r="4" spans="1:8" ht="15">
      <c r="A4" s="369" t="s">
        <v>329</v>
      </c>
      <c r="B4" s="369"/>
      <c r="C4" s="369"/>
      <c r="D4" s="369"/>
      <c r="E4" s="369"/>
      <c r="F4" s="183"/>
      <c r="G4" s="186"/>
      <c r="H4" s="184"/>
    </row>
    <row r="5" spans="1:8" ht="15">
      <c r="A5" s="758" t="s">
        <v>245</v>
      </c>
      <c r="B5" s="758"/>
      <c r="C5" s="184"/>
      <c r="D5" s="184"/>
      <c r="E5" s="184"/>
      <c r="F5" s="183"/>
      <c r="G5" s="186"/>
      <c r="H5" s="184"/>
    </row>
    <row r="6" spans="1:22" s="235" customFormat="1" ht="15">
      <c r="A6" s="183"/>
      <c r="B6" s="757"/>
      <c r="C6" s="757"/>
      <c r="D6" s="184"/>
      <c r="E6" s="184"/>
      <c r="F6" s="183"/>
      <c r="G6" s="186"/>
      <c r="H6" s="184"/>
      <c r="I6" s="154"/>
      <c r="J6" s="154"/>
      <c r="K6" s="154"/>
      <c r="L6" s="154"/>
      <c r="M6" s="154"/>
      <c r="N6" s="154"/>
      <c r="O6" s="154"/>
      <c r="P6" s="154"/>
      <c r="Q6" s="154"/>
      <c r="R6" s="154"/>
      <c r="S6" s="154"/>
      <c r="T6" s="154"/>
      <c r="U6" s="154"/>
      <c r="V6" s="154"/>
    </row>
    <row r="7" spans="1:8" ht="15">
      <c r="A7" s="183"/>
      <c r="D7" s="184"/>
      <c r="E7" s="184"/>
      <c r="F7" s="183"/>
      <c r="G7" s="186"/>
      <c r="H7" s="184"/>
    </row>
    <row r="8" spans="1:8" ht="15">
      <c r="A8" s="187" t="s">
        <v>159</v>
      </c>
      <c r="B8" s="427">
        <f>_xlfn.IFERROR(IF(Indice!B6="","2XX2",YEAR(Indice!B6)),"2XX2")</f>
        <v>2021</v>
      </c>
      <c r="C8" s="427">
        <f>+_xlfn.IFERROR(YEAR(Indice!B6-365),"2XX1")</f>
        <v>2020</v>
      </c>
      <c r="D8" s="184"/>
      <c r="E8" s="184"/>
      <c r="F8" s="183"/>
      <c r="G8" s="186"/>
      <c r="H8" s="184"/>
    </row>
    <row r="9" spans="1:8" ht="15">
      <c r="A9" s="183" t="s">
        <v>150</v>
      </c>
      <c r="B9" s="183"/>
      <c r="C9" s="183"/>
      <c r="D9" s="184"/>
      <c r="E9" s="184"/>
      <c r="F9" s="183"/>
      <c r="G9" s="186"/>
      <c r="H9" s="184"/>
    </row>
    <row r="10" spans="1:8" ht="15">
      <c r="A10" s="183"/>
      <c r="B10" s="183"/>
      <c r="C10" s="183"/>
      <c r="D10" s="184"/>
      <c r="E10" s="184"/>
      <c r="F10" s="183"/>
      <c r="G10" s="186"/>
      <c r="H10" s="184"/>
    </row>
    <row r="11" spans="1:8" ht="15">
      <c r="A11" s="183"/>
      <c r="B11" s="183"/>
      <c r="C11" s="183"/>
      <c r="D11" s="184"/>
      <c r="E11" s="184"/>
      <c r="F11" s="183"/>
      <c r="G11" s="186"/>
      <c r="H11" s="184"/>
    </row>
    <row r="12" spans="1:8" ht="15">
      <c r="A12" s="183"/>
      <c r="B12" s="183"/>
      <c r="C12" s="183"/>
      <c r="D12" s="184"/>
      <c r="E12" s="184"/>
      <c r="F12" s="183"/>
      <c r="G12" s="186"/>
      <c r="H12" s="184"/>
    </row>
    <row r="13" spans="1:8" ht="15">
      <c r="A13" s="183"/>
      <c r="B13" s="183"/>
      <c r="C13" s="183"/>
      <c r="D13" s="184"/>
      <c r="E13" s="184"/>
      <c r="F13" s="183"/>
      <c r="G13" s="186"/>
      <c r="H13" s="184"/>
    </row>
    <row r="14" spans="1:8" ht="15">
      <c r="A14" s="183"/>
      <c r="B14" s="185"/>
      <c r="C14" s="183"/>
      <c r="D14" s="184"/>
      <c r="E14" s="184"/>
      <c r="F14" s="183"/>
      <c r="G14" s="186"/>
      <c r="H14" s="184"/>
    </row>
    <row r="15" spans="1:8" ht="15">
      <c r="A15" s="183"/>
      <c r="B15" s="185"/>
      <c r="C15" s="183"/>
      <c r="D15" s="184"/>
      <c r="E15" s="184"/>
      <c r="F15" s="183"/>
      <c r="G15" s="186"/>
      <c r="H15" s="184"/>
    </row>
    <row r="16" spans="1:8" ht="15">
      <c r="A16" s="187" t="s">
        <v>3</v>
      </c>
      <c r="B16" s="188">
        <f>SUM($B9:B15)</f>
        <v>0</v>
      </c>
      <c r="C16" s="188">
        <f>SUM($C9:C15)</f>
        <v>0</v>
      </c>
      <c r="D16" s="184"/>
      <c r="E16" s="184"/>
      <c r="F16" s="183"/>
      <c r="G16" s="186"/>
      <c r="H16" s="184"/>
    </row>
    <row r="17" spans="1:8" ht="15">
      <c r="A17" s="183"/>
      <c r="B17" s="185"/>
      <c r="C17" s="184"/>
      <c r="D17" s="184"/>
      <c r="E17" s="184"/>
      <c r="F17" s="183"/>
      <c r="G17" s="186"/>
      <c r="H17" s="184"/>
    </row>
  </sheetData>
  <sheetProtection/>
  <mergeCells count="2">
    <mergeCell ref="A5:B5"/>
    <mergeCell ref="B6:C6"/>
  </mergeCells>
  <hyperlinks>
    <hyperlink ref="E1" location="ER!A1" display="ER"/>
  </hyperlinks>
  <printOptions/>
  <pageMargins left="0.7" right="0.7" top="0.75" bottom="0.75" header="0.3" footer="0.3"/>
  <pageSetup orientation="portrait" paperSize="9"/>
</worksheet>
</file>

<file path=xl/worksheets/sheet38.xml><?xml version="1.0" encoding="utf-8"?>
<worksheet xmlns="http://schemas.openxmlformats.org/spreadsheetml/2006/main" xmlns:r="http://schemas.openxmlformats.org/officeDocument/2006/relationships">
  <sheetPr codeName="Hoja37"/>
  <dimension ref="A1:G15"/>
  <sheetViews>
    <sheetView zoomScalePageLayoutView="0" workbookViewId="0" topLeftCell="A1">
      <selection activeCell="E1" sqref="E1"/>
    </sheetView>
  </sheetViews>
  <sheetFormatPr defaultColWidth="11.421875" defaultRowHeight="15"/>
  <cols>
    <col min="1" max="1" width="37.421875" style="154" customWidth="1"/>
    <col min="2" max="3" width="17.28125" style="154" customWidth="1"/>
    <col min="4" max="26" width="11.421875" style="154" customWidth="1"/>
  </cols>
  <sheetData>
    <row r="1" spans="1:5" ht="15">
      <c r="A1" s="154" t="str">
        <f>Indice!C1</f>
        <v>IMPORT CENTER S.A.</v>
      </c>
      <c r="E1" s="177" t="s">
        <v>144</v>
      </c>
    </row>
    <row r="4" spans="1:7" ht="15">
      <c r="A4" s="373" t="s">
        <v>331</v>
      </c>
      <c r="B4" s="373"/>
      <c r="C4" s="373"/>
      <c r="D4" s="373"/>
      <c r="E4" s="373"/>
      <c r="F4" s="183"/>
      <c r="G4" s="186"/>
    </row>
    <row r="5" spans="1:7" ht="15">
      <c r="A5" s="391" t="s">
        <v>227</v>
      </c>
      <c r="B5" s="185"/>
      <c r="C5" s="184"/>
      <c r="D5" s="184"/>
      <c r="E5" s="184"/>
      <c r="F5" s="183"/>
      <c r="G5" s="186"/>
    </row>
    <row r="6" spans="1:7" ht="15">
      <c r="A6" s="183"/>
      <c r="B6" s="757"/>
      <c r="C6" s="757"/>
      <c r="D6" s="184"/>
      <c r="E6" s="184"/>
      <c r="F6" s="183"/>
      <c r="G6" s="186"/>
    </row>
    <row r="7" spans="2:7" ht="15">
      <c r="B7" s="427">
        <f>_xlfn.IFERROR(IF(Indice!B6="","2XX2",YEAR(Indice!B6)),"2XX2")</f>
        <v>2021</v>
      </c>
      <c r="C7" s="427">
        <f>+_xlfn.IFERROR(YEAR(Indice!B6-365),"2XX1")</f>
        <v>2020</v>
      </c>
      <c r="D7" s="184"/>
      <c r="E7" s="184"/>
      <c r="F7" s="183"/>
      <c r="G7" s="186"/>
    </row>
    <row r="8" spans="1:7" ht="15">
      <c r="A8" s="187" t="s">
        <v>46</v>
      </c>
      <c r="B8" s="186">
        <v>533055</v>
      </c>
      <c r="C8" s="183">
        <v>377136</v>
      </c>
      <c r="D8" s="184"/>
      <c r="E8" s="184"/>
      <c r="F8" s="183"/>
      <c r="G8" s="186"/>
    </row>
    <row r="9" spans="1:7" ht="15">
      <c r="A9" s="183"/>
      <c r="B9" s="183"/>
      <c r="C9" s="183"/>
      <c r="D9" s="184"/>
      <c r="E9" s="184"/>
      <c r="F9" s="183"/>
      <c r="G9" s="186"/>
    </row>
    <row r="10" spans="1:7" ht="15">
      <c r="A10" s="183"/>
      <c r="B10" s="183"/>
      <c r="C10" s="183"/>
      <c r="D10" s="184"/>
      <c r="E10" s="184"/>
      <c r="F10" s="183"/>
      <c r="G10" s="186"/>
    </row>
    <row r="11" spans="1:7" ht="15">
      <c r="A11" s="183"/>
      <c r="B11" s="183"/>
      <c r="C11" s="183"/>
      <c r="D11" s="184"/>
      <c r="E11" s="184"/>
      <c r="F11" s="183"/>
      <c r="G11" s="186"/>
    </row>
    <row r="12" spans="1:7" ht="15">
      <c r="A12" s="183"/>
      <c r="B12" s="185"/>
      <c r="C12" s="183"/>
      <c r="D12" s="184"/>
      <c r="E12" s="184"/>
      <c r="F12" s="183"/>
      <c r="G12" s="186"/>
    </row>
    <row r="13" spans="1:7" ht="15">
      <c r="A13" s="183"/>
      <c r="B13" s="185"/>
      <c r="C13" s="183"/>
      <c r="D13" s="184"/>
      <c r="E13" s="184"/>
      <c r="F13" s="183"/>
      <c r="G13" s="186"/>
    </row>
    <row r="14" spans="1:7" ht="15">
      <c r="A14" s="187" t="s">
        <v>3</v>
      </c>
      <c r="B14" s="188">
        <f>SUM($B8:B13)</f>
        <v>533055</v>
      </c>
      <c r="C14" s="188">
        <f>SUM($C8:C13)</f>
        <v>377136</v>
      </c>
      <c r="D14" s="184"/>
      <c r="E14" s="184"/>
      <c r="F14" s="183"/>
      <c r="G14" s="186"/>
    </row>
    <row r="15" spans="1:7" ht="15">
      <c r="A15" s="183"/>
      <c r="B15" s="185"/>
      <c r="C15" s="184"/>
      <c r="D15" s="184"/>
      <c r="E15" s="184"/>
      <c r="F15" s="183"/>
      <c r="G15" s="186"/>
    </row>
  </sheetData>
  <sheetProtection/>
  <mergeCells count="1">
    <mergeCell ref="B6:C6"/>
  </mergeCells>
  <hyperlinks>
    <hyperlink ref="E1" location="ER!A1" display="ER"/>
  </hyperlinks>
  <printOptions/>
  <pageMargins left="0.7" right="0.7" top="0.75" bottom="0.75" header="0.3" footer="0.3"/>
  <pageSetup horizontalDpi="120" verticalDpi="120" orientation="portrait" r:id="rId1"/>
</worksheet>
</file>

<file path=xl/worksheets/sheet39.xml><?xml version="1.0" encoding="utf-8"?>
<worksheet xmlns="http://schemas.openxmlformats.org/spreadsheetml/2006/main" xmlns:r="http://schemas.openxmlformats.org/officeDocument/2006/relationships">
  <sheetPr codeName="Hoja38"/>
  <dimension ref="A1:H16"/>
  <sheetViews>
    <sheetView zoomScalePageLayoutView="0" workbookViewId="0" topLeftCell="A1">
      <selection activeCell="B8" sqref="B8"/>
    </sheetView>
  </sheetViews>
  <sheetFormatPr defaultColWidth="11.421875" defaultRowHeight="15"/>
  <cols>
    <col min="1" max="1" width="27.140625" style="154" customWidth="1"/>
    <col min="2" max="2" width="18.421875" style="154" customWidth="1"/>
    <col min="3" max="3" width="17.8515625" style="154" customWidth="1"/>
    <col min="4" max="22" width="11.421875" style="154" customWidth="1"/>
  </cols>
  <sheetData>
    <row r="1" spans="1:5" ht="15">
      <c r="A1" s="154" t="str">
        <f>Indice!C1</f>
        <v>IMPORT CENTER S.A.</v>
      </c>
      <c r="E1" s="177" t="s">
        <v>144</v>
      </c>
    </row>
    <row r="4" spans="1:8" ht="15">
      <c r="A4" s="369" t="s">
        <v>330</v>
      </c>
      <c r="B4" s="369"/>
      <c r="C4" s="369"/>
      <c r="D4" s="369"/>
      <c r="E4" s="369"/>
      <c r="F4" s="183"/>
      <c r="G4" s="186"/>
      <c r="H4" s="184"/>
    </row>
    <row r="5" spans="1:8" ht="15">
      <c r="A5" s="759" t="s">
        <v>227</v>
      </c>
      <c r="B5" s="759"/>
      <c r="C5" s="184"/>
      <c r="D5" s="184"/>
      <c r="E5" s="184"/>
      <c r="F5" s="183"/>
      <c r="G5" s="186"/>
      <c r="H5" s="184"/>
    </row>
    <row r="6" spans="1:8" ht="15">
      <c r="A6" s="183"/>
      <c r="D6" s="184"/>
      <c r="E6" s="184"/>
      <c r="F6" s="183"/>
      <c r="G6" s="186"/>
      <c r="H6" s="184"/>
    </row>
    <row r="7" spans="2:8" ht="15">
      <c r="B7" s="427">
        <f>_xlfn.IFERROR(IF(Indice!B6="","2XX2",YEAR(Indice!B6)),"2XX2")</f>
        <v>2021</v>
      </c>
      <c r="C7" s="427">
        <f>+_xlfn.IFERROR(YEAR(Indice!B6-365),"2XX1")</f>
        <v>2020</v>
      </c>
      <c r="D7" s="184"/>
      <c r="E7" s="184"/>
      <c r="F7" s="183"/>
      <c r="G7" s="186"/>
      <c r="H7" s="184"/>
    </row>
    <row r="8" spans="1:8" ht="15">
      <c r="A8" s="187" t="s">
        <v>846</v>
      </c>
      <c r="D8" s="184"/>
      <c r="E8" s="184"/>
      <c r="F8" s="183"/>
      <c r="G8" s="186"/>
      <c r="H8" s="184"/>
    </row>
    <row r="9" spans="1:8" ht="15">
      <c r="A9" s="392" t="s">
        <v>847</v>
      </c>
      <c r="B9" s="183"/>
      <c r="C9" s="183"/>
      <c r="D9" s="184"/>
      <c r="E9" s="184"/>
      <c r="F9" s="183"/>
      <c r="G9" s="186"/>
      <c r="H9" s="184"/>
    </row>
    <row r="10" spans="1:8" ht="15">
      <c r="A10" s="183"/>
      <c r="B10" s="183"/>
      <c r="C10" s="183"/>
      <c r="D10" s="184"/>
      <c r="E10" s="184"/>
      <c r="F10" s="183"/>
      <c r="G10" s="186"/>
      <c r="H10" s="184"/>
    </row>
    <row r="11" spans="1:8" ht="15">
      <c r="A11" s="183"/>
      <c r="B11" s="183"/>
      <c r="C11" s="183"/>
      <c r="D11" s="184"/>
      <c r="E11" s="184"/>
      <c r="F11" s="183"/>
      <c r="G11" s="186"/>
      <c r="H11" s="184"/>
    </row>
    <row r="12" spans="1:8" ht="15">
      <c r="A12" s="183"/>
      <c r="B12" s="183"/>
      <c r="C12" s="183"/>
      <c r="D12" s="184"/>
      <c r="E12" s="184"/>
      <c r="F12" s="183"/>
      <c r="G12" s="186"/>
      <c r="H12" s="184"/>
    </row>
    <row r="13" spans="1:8" ht="15">
      <c r="A13" s="183"/>
      <c r="B13" s="185"/>
      <c r="C13" s="183"/>
      <c r="D13" s="184"/>
      <c r="E13" s="184"/>
      <c r="F13" s="183"/>
      <c r="G13" s="186"/>
      <c r="H13" s="184"/>
    </row>
    <row r="14" spans="1:8" ht="15">
      <c r="A14" s="183"/>
      <c r="B14" s="185"/>
      <c r="C14" s="183"/>
      <c r="D14" s="184"/>
      <c r="E14" s="184"/>
      <c r="F14" s="183"/>
      <c r="G14" s="186"/>
      <c r="H14" s="184"/>
    </row>
    <row r="15" spans="1:8" ht="15">
      <c r="A15" s="183" t="s">
        <v>3</v>
      </c>
      <c r="B15" s="188">
        <f>SUM($B8:B14)</f>
        <v>0</v>
      </c>
      <c r="C15" s="188">
        <f>SUM($C8:C14)</f>
        <v>0</v>
      </c>
      <c r="D15" s="184"/>
      <c r="E15" s="184"/>
      <c r="F15" s="183"/>
      <c r="G15" s="186"/>
      <c r="H15" s="184"/>
    </row>
    <row r="16" spans="1:8" ht="15">
      <c r="A16" s="183"/>
      <c r="B16" s="185"/>
      <c r="C16" s="184"/>
      <c r="D16" s="184"/>
      <c r="E16" s="184"/>
      <c r="F16" s="183"/>
      <c r="G16" s="186"/>
      <c r="H16" s="184"/>
    </row>
  </sheetData>
  <sheetProtection/>
  <mergeCells count="1">
    <mergeCell ref="A5:B5"/>
  </mergeCells>
  <hyperlinks>
    <hyperlink ref="E1" location="ER!A1" display="ER"/>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Hoja3"/>
  <dimension ref="A1:I47"/>
  <sheetViews>
    <sheetView showGridLines="0" zoomScaleSheetLayoutView="70" zoomScalePageLayoutView="0" workbookViewId="0" topLeftCell="A10">
      <selection activeCell="C21" sqref="C21"/>
    </sheetView>
  </sheetViews>
  <sheetFormatPr defaultColWidth="11.421875" defaultRowHeight="15"/>
  <cols>
    <col min="1" max="1" width="66.00390625" style="48" customWidth="1"/>
    <col min="2" max="2" width="12.7109375" style="233" customWidth="1"/>
    <col min="3" max="3" width="25.421875" style="379" customWidth="1"/>
    <col min="4" max="4" width="24.7109375" style="379" customWidth="1"/>
    <col min="5" max="16384" width="11.421875" style="2" customWidth="1"/>
  </cols>
  <sheetData>
    <row r="1" spans="1:2" ht="15">
      <c r="A1" s="604"/>
      <c r="B1" s="234" t="s">
        <v>365</v>
      </c>
    </row>
    <row r="2" ht="12.75">
      <c r="A2" s="48" t="str">
        <f>+Indice!C1</f>
        <v>IMPORT CENTER S.A.</v>
      </c>
    </row>
    <row r="6" spans="1:3" ht="12.75">
      <c r="A6" s="93"/>
      <c r="B6" s="241"/>
      <c r="C6" s="380"/>
    </row>
    <row r="7" spans="1:4" ht="12.75">
      <c r="A7" s="665" t="s">
        <v>281</v>
      </c>
      <c r="B7" s="665"/>
      <c r="C7" s="665"/>
      <c r="D7" s="665"/>
    </row>
    <row r="8" spans="1:4" ht="12.75">
      <c r="A8" s="665" t="str">
        <f>_xlfn.IFERROR(IF(Indice!B6="","Al dia... de mes… de año 2XX2…","Al "&amp;DAY(Indice!B6)&amp;" de "&amp;VLOOKUP(MONTH(Indice!B6),Indice!S:T,2,0)&amp;" de "&amp;YEAR(Indice!B6)),"Al dia... de mes… de año 2XX2…")</f>
        <v>Al 31 de Diciembre de 2021</v>
      </c>
      <c r="B8" s="665"/>
      <c r="C8" s="665"/>
      <c r="D8" s="665"/>
    </row>
    <row r="9" spans="1:4" ht="12.75">
      <c r="A9" s="678" t="s">
        <v>282</v>
      </c>
      <c r="B9" s="678"/>
      <c r="C9" s="678"/>
      <c r="D9" s="678"/>
    </row>
    <row r="10" spans="1:4" ht="12.75">
      <c r="A10" s="678" t="s">
        <v>243</v>
      </c>
      <c r="B10" s="678"/>
      <c r="C10" s="678"/>
      <c r="D10" s="678"/>
    </row>
    <row r="11" spans="1:3" ht="12.75">
      <c r="A11" s="128"/>
      <c r="B11" s="254"/>
      <c r="C11" s="378"/>
    </row>
    <row r="12" spans="1:4" ht="15">
      <c r="A12" s="132"/>
      <c r="B12" s="236" t="s">
        <v>203</v>
      </c>
      <c r="C12" s="353">
        <f>_xlfn.IFERROR(IF(Indice!B6="","2XX2",YEAR(Indice!B6)),"2XX2")</f>
        <v>2021</v>
      </c>
      <c r="D12" s="353">
        <f>_xlfn.IFERROR(YEAR(Indice!B6-365),"2XX1")</f>
        <v>2020</v>
      </c>
    </row>
    <row r="13" spans="1:4" ht="15">
      <c r="A13" t="s">
        <v>63</v>
      </c>
      <c r="B13" s="253">
        <v>25</v>
      </c>
      <c r="C13" s="377">
        <f>'Nota 25'!B27</f>
        <v>37276473</v>
      </c>
      <c r="D13" s="377">
        <f>'Nota 25'!C27-1</f>
        <v>28688240</v>
      </c>
    </row>
    <row r="14" spans="1:6" ht="15">
      <c r="A14" t="s">
        <v>152</v>
      </c>
      <c r="B14" s="253">
        <v>26</v>
      </c>
      <c r="C14" s="377">
        <f>-'Nota 26'!B21</f>
        <v>-24492002</v>
      </c>
      <c r="D14" s="377">
        <f>-'Nota 26'!C21</f>
        <v>-18390565</v>
      </c>
      <c r="F14" s="21"/>
    </row>
    <row r="15" spans="1:4" ht="12.75">
      <c r="A15" s="93" t="s">
        <v>72</v>
      </c>
      <c r="B15" s="241"/>
      <c r="C15" s="381">
        <f>C13+C14</f>
        <v>12784471</v>
      </c>
      <c r="D15" s="381">
        <f>D13+D14</f>
        <v>10297675</v>
      </c>
    </row>
    <row r="16" spans="1:4" ht="15">
      <c r="A16" t="s">
        <v>244</v>
      </c>
      <c r="B16" s="253">
        <v>27</v>
      </c>
      <c r="C16" s="377">
        <f>-'Nota 27'!B36</f>
        <v>-1483532</v>
      </c>
      <c r="D16" s="377">
        <f>-'Nota 27'!E36</f>
        <v>-1223494</v>
      </c>
    </row>
    <row r="17" spans="1:4" ht="15">
      <c r="A17" s="235" t="s">
        <v>246</v>
      </c>
      <c r="B17" s="253">
        <v>27</v>
      </c>
      <c r="C17" s="377">
        <f>-'Nota 27'!C36</f>
        <v>-4742192</v>
      </c>
      <c r="D17" s="377">
        <f>-'Nota 27'!F36</f>
        <v>-4328925</v>
      </c>
    </row>
    <row r="18" spans="1:7" ht="15">
      <c r="A18" s="235" t="s">
        <v>248</v>
      </c>
      <c r="B18" s="253">
        <v>28</v>
      </c>
      <c r="C18" s="378">
        <f>+'Nota 28'!B16-'Nota 28'!F16</f>
        <v>130710</v>
      </c>
      <c r="D18" s="378">
        <f>+'Nota 28'!C16-'Nota 28'!G16</f>
        <v>51813</v>
      </c>
      <c r="G18" s="605"/>
    </row>
    <row r="19" spans="1:4" ht="12.75">
      <c r="A19" s="93" t="s">
        <v>154</v>
      </c>
      <c r="B19" s="241"/>
      <c r="C19" s="378">
        <f>SUM(C15:C18)</f>
        <v>6689457</v>
      </c>
      <c r="D19" s="378">
        <f>SUM(D15:D18)</f>
        <v>4797069</v>
      </c>
    </row>
    <row r="20" spans="1:6" ht="15">
      <c r="A20" s="235" t="s">
        <v>395</v>
      </c>
      <c r="B20" s="253">
        <v>29</v>
      </c>
      <c r="C20" s="378">
        <f>'Nota 29'!B14</f>
        <v>216658</v>
      </c>
      <c r="D20" s="378">
        <f>'Nota 29'!C14</f>
        <v>338564</v>
      </c>
      <c r="F20" s="21"/>
    </row>
    <row r="21" spans="1:9" ht="15">
      <c r="A21" s="235" t="s">
        <v>394</v>
      </c>
      <c r="B21" s="253">
        <v>29</v>
      </c>
      <c r="C21" s="378">
        <f>-'Nota 29'!F14</f>
        <v>-3132986</v>
      </c>
      <c r="D21" s="378">
        <f>-'Nota 29'!G14</f>
        <v>-2726049</v>
      </c>
      <c r="I21" s="605"/>
    </row>
    <row r="22" spans="1:7" ht="12.75">
      <c r="A22" s="146" t="s">
        <v>62</v>
      </c>
      <c r="C22" s="381">
        <f>+C19+C20+C21</f>
        <v>3773129</v>
      </c>
      <c r="D22" s="381">
        <f>+D19+D20+D21-2</f>
        <v>2409582</v>
      </c>
      <c r="G22" s="605"/>
    </row>
    <row r="23" spans="1:4" ht="15">
      <c r="A23" s="235" t="s">
        <v>158</v>
      </c>
      <c r="B23" s="253">
        <v>30</v>
      </c>
      <c r="C23" s="378">
        <f>'Nota 30'!B16</f>
        <v>0</v>
      </c>
      <c r="D23" s="378">
        <f>'Nota 30'!C16</f>
        <v>0</v>
      </c>
    </row>
    <row r="24" spans="1:4" ht="25.5">
      <c r="A24" s="147" t="s">
        <v>396</v>
      </c>
      <c r="B24" s="241"/>
      <c r="C24" s="381">
        <f>C22+C23</f>
        <v>3773129</v>
      </c>
      <c r="D24" s="381">
        <f>D22+D23-2</f>
        <v>2409580</v>
      </c>
    </row>
    <row r="25" spans="1:4" ht="15">
      <c r="A25" s="235" t="s">
        <v>159</v>
      </c>
      <c r="B25" s="253">
        <v>31</v>
      </c>
      <c r="C25" s="378">
        <f>'Nota 31'!B16</f>
        <v>0</v>
      </c>
      <c r="D25" s="378">
        <f>'Nota 31'!C16</f>
        <v>0</v>
      </c>
    </row>
    <row r="26" spans="1:4" ht="12.75">
      <c r="A26" s="147" t="s">
        <v>76</v>
      </c>
      <c r="B26" s="241"/>
      <c r="C26" s="381"/>
      <c r="D26" s="381"/>
    </row>
    <row r="27" spans="1:4" ht="15">
      <c r="A27" s="48" t="s">
        <v>46</v>
      </c>
      <c r="B27" s="234">
        <v>32</v>
      </c>
      <c r="C27" s="378">
        <f>'Nota 32'!B14</f>
        <v>533055</v>
      </c>
      <c r="D27" s="378">
        <f>'Nota 32'!C14</f>
        <v>377136</v>
      </c>
    </row>
    <row r="28" spans="1:4" ht="12.75">
      <c r="A28" s="93" t="s">
        <v>397</v>
      </c>
      <c r="B28" s="241"/>
      <c r="C28" s="381">
        <f>C26+C27</f>
        <v>533055</v>
      </c>
      <c r="D28" s="381">
        <f>D26+D27</f>
        <v>377136</v>
      </c>
    </row>
    <row r="29" spans="1:4" ht="15">
      <c r="A29" s="235" t="s">
        <v>73</v>
      </c>
      <c r="B29" s="253">
        <v>33</v>
      </c>
      <c r="C29" s="381">
        <f>'Nota 32'!B14</f>
        <v>533055</v>
      </c>
      <c r="D29" s="381">
        <f>'Nota 32'!C14</f>
        <v>377136</v>
      </c>
    </row>
    <row r="30" spans="1:4" ht="15">
      <c r="A30" s="235" t="s">
        <v>74</v>
      </c>
      <c r="B30" s="253">
        <v>34</v>
      </c>
      <c r="C30" s="378">
        <f>'Nota 34'!B12</f>
        <v>0</v>
      </c>
      <c r="D30" s="378">
        <f>'Nota 34'!C12</f>
        <v>0</v>
      </c>
    </row>
    <row r="31" spans="1:4" ht="15">
      <c r="A31" s="127" t="s">
        <v>257</v>
      </c>
      <c r="B31" s="364"/>
      <c r="C31" s="381">
        <f>+C24-C28+2</f>
        <v>3240076</v>
      </c>
      <c r="D31" s="381">
        <f>+D24-D28+5</f>
        <v>2032449</v>
      </c>
    </row>
    <row r="32" spans="1:4" ht="15">
      <c r="A32" s="127" t="s">
        <v>75</v>
      </c>
      <c r="B32" s="253">
        <v>35</v>
      </c>
      <c r="C32" s="378">
        <f>'Nota 35'!B10</f>
        <v>0</v>
      </c>
      <c r="D32" s="378">
        <f>'Nota 35'!C10</f>
        <v>0</v>
      </c>
    </row>
    <row r="34" spans="1:4" ht="12.75">
      <c r="A34" s="93"/>
      <c r="B34" s="241"/>
      <c r="C34" s="382"/>
      <c r="D34" s="382"/>
    </row>
    <row r="35" ht="12.75">
      <c r="A35" s="48" t="s">
        <v>389</v>
      </c>
    </row>
    <row r="41" spans="1:4" ht="12.75">
      <c r="A41" s="130"/>
      <c r="B41" s="255"/>
      <c r="C41" s="677"/>
      <c r="D41" s="677"/>
    </row>
    <row r="42" spans="1:4" ht="12.75">
      <c r="A42" s="129"/>
      <c r="B42" s="256"/>
      <c r="D42" s="383"/>
    </row>
    <row r="47" spans="1:4" ht="12.75">
      <c r="A47" s="461"/>
      <c r="C47" s="677"/>
      <c r="D47" s="677"/>
    </row>
  </sheetData>
  <sheetProtection/>
  <mergeCells count="6">
    <mergeCell ref="C47:D47"/>
    <mergeCell ref="A7:D7"/>
    <mergeCell ref="A8:D8"/>
    <mergeCell ref="A9:D9"/>
    <mergeCell ref="A10:D10"/>
    <mergeCell ref="C41:D41"/>
  </mergeCells>
  <hyperlinks>
    <hyperlink ref="B13" location="'Nota 25'!A1" display="'Nota 25'!A1"/>
    <hyperlink ref="B14" location="'Nota 26'!A1" display="'Nota 26'!A1"/>
    <hyperlink ref="B16" location="'Nota 27'!A1" display="'Nota 27'!A1"/>
    <hyperlink ref="B17" location="'Nota 27'!A1" display="'Nota 27'!A1"/>
    <hyperlink ref="B18" location="'Nota 28'!A1" display="'Nota 28'!A1"/>
    <hyperlink ref="B21" location="'Nota 29'!A1" display="'Nota 29'!A1"/>
    <hyperlink ref="B20" location="'Nota 29'!A1" display="'Nota 29'!A1"/>
    <hyperlink ref="B23" location="'Nota 30'!A1" display="'Nota 30'!A1"/>
    <hyperlink ref="B25" location="'Nota 31'!A1" display="'Nota 31'!A1"/>
    <hyperlink ref="B27" location="'Nota 32'!A1" display="'Nota 32'!A1"/>
    <hyperlink ref="B29" location="'Nota 33'!A1" display="'Nota 33'!A1"/>
    <hyperlink ref="B30" location="'Nota 34'!A1" display="'Nota 34'!A1"/>
    <hyperlink ref="B32" location="'Nota 35'!A1" display="'Nota 35'!A1"/>
    <hyperlink ref="B1" location="Indice!A1" display="Indice"/>
  </hyperlinks>
  <printOptions horizontalCentered="1"/>
  <pageMargins left="0.31496062992125984" right="0.7086614173228347" top="0.7480314960629921" bottom="0.7480314960629921" header="0.31496062992125984" footer="0.31496062992125984"/>
  <pageSetup horizontalDpi="600" verticalDpi="600" orientation="portrait" paperSize="9" scale="70" r:id="rId1"/>
</worksheet>
</file>

<file path=xl/worksheets/sheet40.xml><?xml version="1.0" encoding="utf-8"?>
<worksheet xmlns="http://schemas.openxmlformats.org/spreadsheetml/2006/main" xmlns:r="http://schemas.openxmlformats.org/officeDocument/2006/relationships">
  <sheetPr codeName="Hoja39"/>
  <dimension ref="A1:H13"/>
  <sheetViews>
    <sheetView zoomScalePageLayoutView="0" workbookViewId="0" topLeftCell="A1">
      <selection activeCell="B8" sqref="B8"/>
    </sheetView>
  </sheetViews>
  <sheetFormatPr defaultColWidth="11.421875" defaultRowHeight="15"/>
  <cols>
    <col min="1" max="1" width="51.28125" style="154" customWidth="1"/>
    <col min="2" max="2" width="18.140625" style="154" customWidth="1"/>
    <col min="3" max="3" width="17.57421875" style="154" customWidth="1"/>
    <col min="4" max="22" width="11.421875" style="154" customWidth="1"/>
  </cols>
  <sheetData>
    <row r="1" spans="1:5" ht="15">
      <c r="A1" s="154" t="str">
        <f>Indice!C1</f>
        <v>IMPORT CENTER S.A.</v>
      </c>
      <c r="E1" s="177" t="s">
        <v>144</v>
      </c>
    </row>
    <row r="4" spans="1:8" ht="15">
      <c r="A4" s="369" t="s">
        <v>332</v>
      </c>
      <c r="B4" s="369"/>
      <c r="C4" s="369"/>
      <c r="D4" s="369"/>
      <c r="E4" s="369"/>
      <c r="F4" s="183"/>
      <c r="G4" s="186"/>
      <c r="H4" s="184"/>
    </row>
    <row r="5" spans="1:8" ht="15">
      <c r="A5" s="759" t="s">
        <v>227</v>
      </c>
      <c r="B5" s="759"/>
      <c r="C5" s="184"/>
      <c r="D5" s="184"/>
      <c r="E5" s="184"/>
      <c r="F5" s="183"/>
      <c r="G5" s="186"/>
      <c r="H5" s="184"/>
    </row>
    <row r="6" spans="1:8" ht="15">
      <c r="A6" s="183"/>
      <c r="D6" s="184"/>
      <c r="E6" s="184"/>
      <c r="F6" s="183"/>
      <c r="G6" s="186"/>
      <c r="H6" s="184"/>
    </row>
    <row r="7" spans="1:8" ht="25.5">
      <c r="A7" s="190" t="s">
        <v>74</v>
      </c>
      <c r="B7" s="427">
        <f>_xlfn.IFERROR(IF(Indice!B6="","2XX2",YEAR(Indice!B6)),"2XX2")</f>
        <v>2021</v>
      </c>
      <c r="C7" s="427">
        <f>+_xlfn.IFERROR(YEAR(Indice!B6-365),"2XX1")</f>
        <v>2020</v>
      </c>
      <c r="D7" s="184"/>
      <c r="E7" s="184"/>
      <c r="F7" s="183"/>
      <c r="G7" s="186"/>
      <c r="H7" s="184"/>
    </row>
    <row r="8" spans="4:8" ht="15">
      <c r="D8" s="184"/>
      <c r="E8" s="184"/>
      <c r="F8" s="183"/>
      <c r="G8" s="186"/>
      <c r="H8" s="184"/>
    </row>
    <row r="9" spans="1:8" ht="15">
      <c r="A9" s="183" t="s">
        <v>852</v>
      </c>
      <c r="B9" s="183"/>
      <c r="C9" s="183"/>
      <c r="D9" s="184"/>
      <c r="E9" s="184"/>
      <c r="F9" s="183"/>
      <c r="G9" s="186"/>
      <c r="H9" s="184"/>
    </row>
    <row r="10" spans="1:8" ht="15">
      <c r="A10" s="183" t="s">
        <v>62</v>
      </c>
      <c r="B10" s="183"/>
      <c r="C10" s="183"/>
      <c r="D10" s="184"/>
      <c r="E10" s="184"/>
      <c r="F10" s="183"/>
      <c r="G10" s="186"/>
      <c r="H10" s="184"/>
    </row>
    <row r="11" spans="1:8" ht="15">
      <c r="A11" s="285" t="s">
        <v>333</v>
      </c>
      <c r="B11" s="183"/>
      <c r="C11" s="183"/>
      <c r="D11" s="184"/>
      <c r="E11" s="184"/>
      <c r="F11" s="183"/>
      <c r="G11" s="186"/>
      <c r="H11" s="184"/>
    </row>
    <row r="12" spans="1:8" ht="15">
      <c r="A12" s="183" t="s">
        <v>3</v>
      </c>
      <c r="B12" s="188">
        <f>SUM($B8:B11)</f>
        <v>0</v>
      </c>
      <c r="C12" s="188">
        <f>SUM($C8:C11)</f>
        <v>0</v>
      </c>
      <c r="D12" s="184"/>
      <c r="E12" s="184"/>
      <c r="F12" s="183"/>
      <c r="G12" s="186"/>
      <c r="H12" s="184"/>
    </row>
    <row r="13" spans="1:8" ht="15">
      <c r="A13" s="183"/>
      <c r="B13" s="185"/>
      <c r="C13" s="184"/>
      <c r="D13" s="184"/>
      <c r="E13" s="184"/>
      <c r="F13" s="183"/>
      <c r="G13" s="186"/>
      <c r="H13" s="184"/>
    </row>
  </sheetData>
  <sheetProtection/>
  <mergeCells count="1">
    <mergeCell ref="A5:B5"/>
  </mergeCells>
  <hyperlinks>
    <hyperlink ref="E1" location="ER!A1" display="ER"/>
  </hyperlinks>
  <printOptions/>
  <pageMargins left="0.7" right="0.7" top="0.75" bottom="0.75" header="0.3" footer="0.3"/>
  <pageSetup orientation="portrait" paperSize="9"/>
</worksheet>
</file>

<file path=xl/worksheets/sheet41.xml><?xml version="1.0" encoding="utf-8"?>
<worksheet xmlns="http://schemas.openxmlformats.org/spreadsheetml/2006/main" xmlns:r="http://schemas.openxmlformats.org/officeDocument/2006/relationships">
  <sheetPr codeName="Hoja40"/>
  <dimension ref="A1:I12"/>
  <sheetViews>
    <sheetView zoomScalePageLayoutView="0" workbookViewId="0" topLeftCell="A1">
      <selection activeCell="B10" sqref="B10"/>
    </sheetView>
  </sheetViews>
  <sheetFormatPr defaultColWidth="11.421875" defaultRowHeight="15"/>
  <cols>
    <col min="1" max="1" width="42.140625" style="154" customWidth="1"/>
    <col min="2" max="5" width="24.421875" style="154" customWidth="1"/>
    <col min="6" max="6" width="12.8515625" style="154" customWidth="1"/>
    <col min="7" max="7" width="11.421875" style="154" customWidth="1"/>
    <col min="8" max="8" width="17.28125" style="154" customWidth="1"/>
    <col min="9" max="14" width="11.421875" style="154" customWidth="1"/>
    <col min="15" max="16384" width="11.421875" style="364" customWidth="1"/>
  </cols>
  <sheetData>
    <row r="1" spans="1:5" ht="15">
      <c r="A1" s="154" t="str">
        <f>Indice!C1</f>
        <v>IMPORT CENTER S.A.</v>
      </c>
      <c r="E1" s="177" t="s">
        <v>144</v>
      </c>
    </row>
    <row r="2" ht="15">
      <c r="C2" s="164"/>
    </row>
    <row r="4" spans="1:9" ht="15">
      <c r="A4" s="306" t="s">
        <v>334</v>
      </c>
      <c r="B4" s="306"/>
      <c r="C4" s="306"/>
      <c r="D4" s="306"/>
      <c r="E4" s="306"/>
      <c r="F4" s="306"/>
      <c r="G4" s="306"/>
      <c r="H4" s="306"/>
      <c r="I4" s="306"/>
    </row>
    <row r="5" spans="1:9" ht="27" customHeight="1">
      <c r="A5" s="760" t="s">
        <v>177</v>
      </c>
      <c r="B5" s="760"/>
      <c r="C5" s="760"/>
      <c r="D5" s="760"/>
      <c r="E5" s="760"/>
      <c r="F5" s="394"/>
      <c r="G5" s="394"/>
      <c r="H5" s="394"/>
      <c r="I5" s="394"/>
    </row>
    <row r="6" ht="15" customHeight="1">
      <c r="B6" s="286"/>
    </row>
    <row r="7" spans="2:3" ht="15" customHeight="1">
      <c r="B7" s="427">
        <f>_xlfn.IFERROR(IF(Indice!B6="","2XX2",YEAR(Indice!B6)),"2XX2")</f>
        <v>2021</v>
      </c>
      <c r="C7" s="427">
        <f>+_xlfn.IFERROR(YEAR(Indice!B6-365),"2XX1")</f>
        <v>2020</v>
      </c>
    </row>
    <row r="8" spans="1:9" s="154" customFormat="1" ht="15" customHeight="1">
      <c r="A8" s="210" t="s">
        <v>849</v>
      </c>
      <c r="B8" s="395">
        <v>0</v>
      </c>
      <c r="C8" s="395">
        <v>0</v>
      </c>
      <c r="D8" s="393"/>
      <c r="E8" s="393"/>
      <c r="F8" s="393"/>
      <c r="G8" s="393"/>
      <c r="H8" s="393"/>
      <c r="I8" s="393"/>
    </row>
    <row r="9" spans="1:3" ht="15" customHeight="1">
      <c r="A9" s="364" t="s">
        <v>848</v>
      </c>
      <c r="B9" s="396">
        <v>3240076</v>
      </c>
      <c r="C9" s="396">
        <v>2032449</v>
      </c>
    </row>
    <row r="10" spans="1:9" ht="15" customHeight="1">
      <c r="A10" s="397" t="s">
        <v>850</v>
      </c>
      <c r="B10" s="398">
        <f>_xlfn.IFERROR(B9/B8,0)</f>
        <v>0</v>
      </c>
      <c r="C10" s="398">
        <f>_xlfn.IFERROR(C9/C8,0)</f>
        <v>0</v>
      </c>
      <c r="D10" s="393"/>
      <c r="E10" s="393"/>
      <c r="F10" s="393"/>
      <c r="G10" s="393"/>
      <c r="H10" s="393"/>
      <c r="I10" s="393"/>
    </row>
    <row r="11" ht="15" customHeight="1"/>
    <row r="12" spans="1:9" ht="15" customHeight="1">
      <c r="A12" s="393"/>
      <c r="B12" s="393"/>
      <c r="C12" s="393"/>
      <c r="D12" s="393"/>
      <c r="E12" s="393"/>
      <c r="F12" s="393"/>
      <c r="G12" s="393"/>
      <c r="H12" s="393"/>
      <c r="I12" s="393"/>
    </row>
    <row r="13" ht="15" customHeight="1"/>
  </sheetData>
  <sheetProtection/>
  <mergeCells count="1">
    <mergeCell ref="A5:E5"/>
  </mergeCells>
  <hyperlinks>
    <hyperlink ref="E1" location="ER!A1" display="ER"/>
  </hyperlinks>
  <printOptions/>
  <pageMargins left="0.7" right="0.7" top="0.75" bottom="0.75" header="0.3" footer="0.3"/>
  <pageSetup horizontalDpi="600" verticalDpi="600" orientation="portrait" paperSize="9" r:id="rId1"/>
</worksheet>
</file>

<file path=xl/worksheets/sheet42.xml><?xml version="1.0" encoding="utf-8"?>
<worksheet xmlns="http://schemas.openxmlformats.org/spreadsheetml/2006/main" xmlns:r="http://schemas.openxmlformats.org/officeDocument/2006/relationships">
  <sheetPr codeName="Hoja41"/>
  <dimension ref="A1:N60"/>
  <sheetViews>
    <sheetView showGridLines="0" zoomScalePageLayoutView="0" workbookViewId="0" topLeftCell="A1">
      <selection activeCell="A8" sqref="A8"/>
    </sheetView>
  </sheetViews>
  <sheetFormatPr defaultColWidth="11.421875" defaultRowHeight="15"/>
  <cols>
    <col min="1" max="3" width="24.421875" style="154" customWidth="1"/>
    <col min="4" max="4" width="27.140625" style="154" customWidth="1"/>
    <col min="5" max="5" width="24.421875" style="154" customWidth="1"/>
    <col min="6" max="6" width="12.8515625" style="154" customWidth="1"/>
    <col min="7" max="7" width="11.421875" style="154" customWidth="1"/>
    <col min="8" max="8" width="17.28125" style="154" customWidth="1"/>
    <col min="9" max="14" width="11.421875" style="154" customWidth="1"/>
  </cols>
  <sheetData>
    <row r="1" spans="1:5" ht="15">
      <c r="A1" s="154" t="str">
        <f>Indice!C1</f>
        <v>IMPORT CENTER S.A.</v>
      </c>
      <c r="E1" s="177" t="s">
        <v>365</v>
      </c>
    </row>
    <row r="2" ht="15">
      <c r="C2" s="164"/>
    </row>
    <row r="4" spans="1:9" s="67" customFormat="1" ht="15">
      <c r="A4" s="738" t="s">
        <v>364</v>
      </c>
      <c r="B4" s="738"/>
      <c r="C4" s="738"/>
      <c r="D4" s="738"/>
      <c r="E4" s="738"/>
      <c r="F4" s="307"/>
      <c r="G4" s="307"/>
      <c r="H4" s="307"/>
      <c r="I4" s="307"/>
    </row>
    <row r="6" spans="1:14" s="211" customFormat="1" ht="15">
      <c r="A6" s="761" t="s">
        <v>168</v>
      </c>
      <c r="B6" s="761"/>
      <c r="C6" s="761"/>
      <c r="D6" s="761"/>
      <c r="E6" s="761"/>
      <c r="F6" s="761"/>
      <c r="G6" s="761"/>
      <c r="H6" s="761"/>
      <c r="I6" s="761"/>
      <c r="J6" s="210"/>
      <c r="K6" s="210"/>
      <c r="L6" s="210"/>
      <c r="M6" s="210"/>
      <c r="N6" s="210"/>
    </row>
    <row r="7" spans="1:14" s="211" customFormat="1" ht="15">
      <c r="A7" s="210"/>
      <c r="B7" s="210"/>
      <c r="C7" s="210"/>
      <c r="D7" s="210"/>
      <c r="E7" s="210"/>
      <c r="F7" s="210"/>
      <c r="G7" s="210"/>
      <c r="H7" s="210"/>
      <c r="I7" s="210"/>
      <c r="J7" s="210"/>
      <c r="K7" s="210"/>
      <c r="L7" s="210"/>
      <c r="M7" s="210"/>
      <c r="N7" s="210"/>
    </row>
    <row r="8" spans="1:14" s="211" customFormat="1" ht="15.75" thickBot="1">
      <c r="A8" s="456" t="s">
        <v>1001</v>
      </c>
      <c r="B8" s="456"/>
      <c r="C8" s="456"/>
      <c r="D8" s="456"/>
      <c r="E8" s="456"/>
      <c r="F8" s="456"/>
      <c r="G8" s="456"/>
      <c r="H8" s="210"/>
      <c r="I8" s="210"/>
      <c r="J8" s="210"/>
      <c r="K8" s="210"/>
      <c r="L8" s="210"/>
      <c r="M8" s="210"/>
      <c r="N8" s="210"/>
    </row>
    <row r="9" spans="1:14" s="211" customFormat="1" ht="15.75" thickBot="1">
      <c r="A9" s="212" t="s">
        <v>169</v>
      </c>
      <c r="B9" s="213" t="s">
        <v>170</v>
      </c>
      <c r="C9" s="212" t="s">
        <v>117</v>
      </c>
      <c r="D9" s="212" t="s">
        <v>171</v>
      </c>
      <c r="E9" s="212" t="s">
        <v>172</v>
      </c>
      <c r="F9" s="210"/>
      <c r="G9" s="210"/>
      <c r="H9" s="210"/>
      <c r="I9" s="210"/>
      <c r="J9" s="210"/>
      <c r="K9" s="210"/>
      <c r="L9" s="210"/>
      <c r="M9" s="210"/>
      <c r="N9" s="210"/>
    </row>
    <row r="10" spans="1:14" s="211" customFormat="1" ht="15">
      <c r="A10" s="214"/>
      <c r="B10" s="215"/>
      <c r="C10" s="216"/>
      <c r="D10" s="216"/>
      <c r="E10" s="217"/>
      <c r="F10" s="210"/>
      <c r="G10" s="210"/>
      <c r="H10" s="210"/>
      <c r="I10" s="210"/>
      <c r="J10" s="210"/>
      <c r="K10" s="210"/>
      <c r="L10" s="210"/>
      <c r="M10" s="210"/>
      <c r="N10" s="210"/>
    </row>
    <row r="11" spans="1:14" s="211" customFormat="1" ht="15" customHeight="1">
      <c r="A11" s="218"/>
      <c r="B11" s="219"/>
      <c r="C11" s="220"/>
      <c r="D11" s="220"/>
      <c r="E11" s="221"/>
      <c r="F11" s="210"/>
      <c r="G11" s="210"/>
      <c r="H11" s="210"/>
      <c r="I11" s="210"/>
      <c r="J11" s="210"/>
      <c r="K11" s="210"/>
      <c r="L11" s="210"/>
      <c r="M11" s="210"/>
      <c r="N11" s="210"/>
    </row>
    <row r="12" spans="1:14" s="211" customFormat="1" ht="15">
      <c r="A12" s="218"/>
      <c r="B12" s="219"/>
      <c r="C12" s="220"/>
      <c r="D12" s="220"/>
      <c r="E12" s="221"/>
      <c r="F12" s="210"/>
      <c r="G12" s="210"/>
      <c r="H12" s="210"/>
      <c r="I12" s="210"/>
      <c r="J12" s="210"/>
      <c r="K12" s="210"/>
      <c r="L12" s="210"/>
      <c r="M12" s="210"/>
      <c r="N12" s="210"/>
    </row>
    <row r="13" spans="1:14" s="211" customFormat="1" ht="15.75" thickBot="1">
      <c r="A13" s="222"/>
      <c r="B13" s="223"/>
      <c r="C13" s="224"/>
      <c r="D13" s="224"/>
      <c r="E13" s="225"/>
      <c r="F13" s="210"/>
      <c r="G13" s="210"/>
      <c r="H13" s="210"/>
      <c r="I13" s="210"/>
      <c r="J13" s="210"/>
      <c r="K13" s="210"/>
      <c r="L13" s="210"/>
      <c r="M13" s="210"/>
      <c r="N13" s="210"/>
    </row>
    <row r="14" spans="1:14" s="211" customFormat="1" ht="15">
      <c r="A14" s="210"/>
      <c r="B14" s="210"/>
      <c r="C14" s="210"/>
      <c r="D14" s="210"/>
      <c r="E14" s="210"/>
      <c r="F14" s="210"/>
      <c r="G14" s="210"/>
      <c r="H14" s="210"/>
      <c r="I14" s="210"/>
      <c r="J14" s="210"/>
      <c r="K14" s="210"/>
      <c r="L14" s="210"/>
      <c r="M14" s="210"/>
      <c r="N14" s="210"/>
    </row>
    <row r="15" spans="1:14" s="211" customFormat="1" ht="15.75" thickBot="1">
      <c r="A15" s="456" t="str">
        <f>_xlfn.IFERROR("Al "&amp;DAY(Indice!B6)&amp;" de "&amp;VLOOKUP(MONTH(Indice!B6),Indice!S:T,2,0)&amp;" de "&amp;YEAR(Indice!B6-1),"Al dia... de mes… de año 2XX2…")</f>
        <v>Al 31 de Diciembre de 2021</v>
      </c>
      <c r="B15" s="455"/>
      <c r="C15" s="455"/>
      <c r="D15" s="455"/>
      <c r="E15" s="455"/>
      <c r="F15" s="210"/>
      <c r="G15" s="210"/>
      <c r="H15" s="210"/>
      <c r="I15" s="210"/>
      <c r="J15" s="210"/>
      <c r="K15" s="210"/>
      <c r="L15" s="210"/>
      <c r="M15" s="210"/>
      <c r="N15" s="210"/>
    </row>
    <row r="16" spans="1:14" s="211" customFormat="1" ht="30" customHeight="1" thickBot="1">
      <c r="A16" s="212" t="s">
        <v>169</v>
      </c>
      <c r="B16" s="213" t="s">
        <v>170</v>
      </c>
      <c r="C16" s="212" t="s">
        <v>117</v>
      </c>
      <c r="D16" s="212" t="s">
        <v>171</v>
      </c>
      <c r="E16" s="212" t="s">
        <v>172</v>
      </c>
      <c r="F16" s="210"/>
      <c r="G16" s="210"/>
      <c r="H16" s="210"/>
      <c r="I16" s="210"/>
      <c r="J16" s="210"/>
      <c r="K16" s="210"/>
      <c r="L16" s="210"/>
      <c r="M16" s="210"/>
      <c r="N16" s="210"/>
    </row>
    <row r="17" spans="1:14" s="211" customFormat="1" ht="15">
      <c r="A17" s="214"/>
      <c r="B17" s="215"/>
      <c r="C17" s="216"/>
      <c r="D17" s="216"/>
      <c r="E17" s="217"/>
      <c r="F17" s="210"/>
      <c r="G17" s="210"/>
      <c r="H17" s="210"/>
      <c r="I17" s="210"/>
      <c r="J17" s="210"/>
      <c r="K17" s="210"/>
      <c r="L17" s="210"/>
      <c r="M17" s="210"/>
      <c r="N17" s="210"/>
    </row>
    <row r="18" spans="1:14" s="211" customFormat="1" ht="15">
      <c r="A18" s="218"/>
      <c r="B18" s="219"/>
      <c r="C18" s="220"/>
      <c r="D18" s="220"/>
      <c r="E18" s="221"/>
      <c r="F18" s="210"/>
      <c r="G18" s="210"/>
      <c r="H18" s="210"/>
      <c r="I18" s="210"/>
      <c r="J18" s="210"/>
      <c r="K18" s="210"/>
      <c r="L18" s="210"/>
      <c r="M18" s="210"/>
      <c r="N18" s="210"/>
    </row>
    <row r="19" spans="1:14" s="211" customFormat="1" ht="15">
      <c r="A19" s="218"/>
      <c r="B19" s="219"/>
      <c r="C19" s="220"/>
      <c r="D19" s="220"/>
      <c r="E19" s="221"/>
      <c r="F19" s="210"/>
      <c r="G19" s="210"/>
      <c r="H19" s="210"/>
      <c r="I19" s="210"/>
      <c r="J19" s="210"/>
      <c r="K19" s="210"/>
      <c r="L19" s="210"/>
      <c r="M19" s="210"/>
      <c r="N19" s="210"/>
    </row>
    <row r="20" spans="1:14" s="211" customFormat="1" ht="15.75" thickBot="1">
      <c r="A20" s="222"/>
      <c r="B20" s="223"/>
      <c r="C20" s="224"/>
      <c r="D20" s="224"/>
      <c r="E20" s="225"/>
      <c r="F20" s="210"/>
      <c r="G20" s="210"/>
      <c r="H20" s="210"/>
      <c r="I20" s="210"/>
      <c r="J20" s="210"/>
      <c r="K20" s="210"/>
      <c r="L20" s="210"/>
      <c r="M20" s="210"/>
      <c r="N20" s="210"/>
    </row>
    <row r="21" spans="1:14" s="211" customFormat="1" ht="15">
      <c r="A21" s="210"/>
      <c r="B21" s="210"/>
      <c r="C21" s="210"/>
      <c r="D21" s="210"/>
      <c r="E21" s="210"/>
      <c r="F21" s="210"/>
      <c r="G21" s="210"/>
      <c r="H21" s="210"/>
      <c r="I21" s="210"/>
      <c r="J21" s="210"/>
      <c r="K21" s="210"/>
      <c r="L21" s="210"/>
      <c r="M21" s="210"/>
      <c r="N21" s="210"/>
    </row>
    <row r="22" spans="1:14" s="211" customFormat="1" ht="15">
      <c r="A22" s="210"/>
      <c r="B22" s="210"/>
      <c r="C22" s="210"/>
      <c r="D22" s="210"/>
      <c r="E22" s="210"/>
      <c r="F22" s="210"/>
      <c r="G22" s="210"/>
      <c r="H22" s="210"/>
      <c r="I22" s="210"/>
      <c r="J22" s="210"/>
      <c r="K22" s="210"/>
      <c r="L22" s="210"/>
      <c r="M22" s="210"/>
      <c r="N22" s="210"/>
    </row>
    <row r="23" spans="1:14" s="211" customFormat="1" ht="15">
      <c r="A23" s="210"/>
      <c r="B23" s="210"/>
      <c r="C23" s="210"/>
      <c r="D23" s="210"/>
      <c r="E23" s="210"/>
      <c r="F23" s="210"/>
      <c r="G23" s="210"/>
      <c r="H23" s="210"/>
      <c r="I23" s="210"/>
      <c r="J23" s="210"/>
      <c r="K23" s="210"/>
      <c r="L23" s="210"/>
      <c r="M23" s="210"/>
      <c r="N23" s="210"/>
    </row>
    <row r="24" spans="1:14" s="211" customFormat="1" ht="15">
      <c r="A24" s="210"/>
      <c r="B24" s="210"/>
      <c r="C24" s="210"/>
      <c r="D24" s="210"/>
      <c r="E24" s="210"/>
      <c r="F24" s="210"/>
      <c r="G24" s="210"/>
      <c r="H24" s="210"/>
      <c r="I24" s="210"/>
      <c r="J24" s="210"/>
      <c r="K24" s="210"/>
      <c r="L24" s="210"/>
      <c r="M24" s="210"/>
      <c r="N24" s="210"/>
    </row>
    <row r="25" spans="1:14" s="211" customFormat="1" ht="15">
      <c r="A25" s="210"/>
      <c r="B25" s="210"/>
      <c r="C25" s="210"/>
      <c r="D25" s="210"/>
      <c r="E25" s="210"/>
      <c r="F25" s="210"/>
      <c r="G25" s="210"/>
      <c r="H25" s="210"/>
      <c r="I25" s="210"/>
      <c r="J25" s="210"/>
      <c r="K25" s="210"/>
      <c r="L25" s="210"/>
      <c r="M25" s="210"/>
      <c r="N25" s="210"/>
    </row>
    <row r="26" spans="1:14" s="211" customFormat="1" ht="15">
      <c r="A26" s="210"/>
      <c r="B26" s="210"/>
      <c r="C26" s="210"/>
      <c r="D26" s="210"/>
      <c r="E26" s="210"/>
      <c r="F26" s="210"/>
      <c r="G26" s="210"/>
      <c r="H26" s="210"/>
      <c r="I26" s="210"/>
      <c r="J26" s="210"/>
      <c r="K26" s="210"/>
      <c r="L26" s="210"/>
      <c r="M26" s="210"/>
      <c r="N26" s="210"/>
    </row>
    <row r="27" spans="1:14" s="211" customFormat="1" ht="15">
      <c r="A27" s="210"/>
      <c r="B27" s="210"/>
      <c r="C27" s="210"/>
      <c r="D27" s="210"/>
      <c r="E27" s="210"/>
      <c r="F27" s="210"/>
      <c r="G27" s="210"/>
      <c r="H27" s="210"/>
      <c r="I27" s="210"/>
      <c r="J27" s="210"/>
      <c r="K27" s="210"/>
      <c r="L27" s="210"/>
      <c r="M27" s="210"/>
      <c r="N27" s="210"/>
    </row>
    <row r="28" spans="1:14" s="211" customFormat="1" ht="15">
      <c r="A28" s="210"/>
      <c r="B28" s="210"/>
      <c r="C28" s="210"/>
      <c r="D28" s="210"/>
      <c r="E28" s="210"/>
      <c r="F28" s="210"/>
      <c r="G28" s="210"/>
      <c r="H28" s="210"/>
      <c r="I28" s="210"/>
      <c r="J28" s="210"/>
      <c r="K28" s="210"/>
      <c r="L28" s="210"/>
      <c r="M28" s="210"/>
      <c r="N28" s="210"/>
    </row>
    <row r="29" spans="1:14" s="211" customFormat="1" ht="15">
      <c r="A29" s="210"/>
      <c r="B29" s="210"/>
      <c r="C29" s="210"/>
      <c r="D29" s="210"/>
      <c r="E29" s="210"/>
      <c r="F29" s="210"/>
      <c r="G29" s="210"/>
      <c r="H29" s="210"/>
      <c r="I29" s="210"/>
      <c r="J29" s="210"/>
      <c r="K29" s="210"/>
      <c r="L29" s="210"/>
      <c r="M29" s="210"/>
      <c r="N29" s="210"/>
    </row>
    <row r="30" spans="1:14" s="211" customFormat="1" ht="15">
      <c r="A30" s="210"/>
      <c r="B30" s="210"/>
      <c r="C30" s="210"/>
      <c r="D30" s="210"/>
      <c r="E30" s="210"/>
      <c r="F30" s="210"/>
      <c r="G30" s="210"/>
      <c r="H30" s="210"/>
      <c r="I30" s="210"/>
      <c r="J30" s="210"/>
      <c r="K30" s="210"/>
      <c r="L30" s="210"/>
      <c r="M30" s="210"/>
      <c r="N30" s="210"/>
    </row>
    <row r="31" spans="1:14" s="211" customFormat="1" ht="15">
      <c r="A31" s="210"/>
      <c r="B31" s="210"/>
      <c r="C31" s="210"/>
      <c r="D31" s="210"/>
      <c r="E31" s="210"/>
      <c r="F31" s="210"/>
      <c r="G31" s="210"/>
      <c r="H31" s="210"/>
      <c r="I31" s="210"/>
      <c r="J31" s="210"/>
      <c r="K31" s="210"/>
      <c r="L31" s="210"/>
      <c r="M31" s="210"/>
      <c r="N31" s="210"/>
    </row>
    <row r="32" spans="1:14" s="211" customFormat="1" ht="15">
      <c r="A32" s="210"/>
      <c r="B32" s="210"/>
      <c r="C32" s="210"/>
      <c r="D32" s="210"/>
      <c r="E32" s="210"/>
      <c r="F32" s="210"/>
      <c r="G32" s="210"/>
      <c r="H32" s="210"/>
      <c r="I32" s="210"/>
      <c r="J32" s="210"/>
      <c r="K32" s="210"/>
      <c r="L32" s="210"/>
      <c r="M32" s="210"/>
      <c r="N32" s="210"/>
    </row>
    <row r="33" spans="1:14" s="211" customFormat="1" ht="15">
      <c r="A33" s="210"/>
      <c r="B33" s="210"/>
      <c r="C33" s="210"/>
      <c r="D33" s="210"/>
      <c r="E33" s="210"/>
      <c r="F33" s="210"/>
      <c r="G33" s="210"/>
      <c r="H33" s="210"/>
      <c r="I33" s="210"/>
      <c r="J33" s="210"/>
      <c r="K33" s="210"/>
      <c r="L33" s="210"/>
      <c r="M33" s="210"/>
      <c r="N33" s="210"/>
    </row>
    <row r="34" spans="1:14" s="211" customFormat="1" ht="15">
      <c r="A34" s="210"/>
      <c r="B34" s="210"/>
      <c r="C34" s="210"/>
      <c r="D34" s="210"/>
      <c r="E34" s="210"/>
      <c r="F34" s="210"/>
      <c r="G34" s="210"/>
      <c r="H34" s="210"/>
      <c r="I34" s="210"/>
      <c r="J34" s="210"/>
      <c r="K34" s="210"/>
      <c r="L34" s="210"/>
      <c r="M34" s="210"/>
      <c r="N34" s="210"/>
    </row>
    <row r="35" spans="1:14" s="211" customFormat="1" ht="15">
      <c r="A35" s="210"/>
      <c r="B35" s="210"/>
      <c r="C35" s="210"/>
      <c r="D35" s="210"/>
      <c r="E35" s="210"/>
      <c r="F35" s="210"/>
      <c r="G35" s="210"/>
      <c r="H35" s="210"/>
      <c r="I35" s="210"/>
      <c r="J35" s="210"/>
      <c r="K35" s="210"/>
      <c r="L35" s="210"/>
      <c r="M35" s="210"/>
      <c r="N35" s="210"/>
    </row>
    <row r="36" spans="1:14" s="211" customFormat="1" ht="15">
      <c r="A36" s="210"/>
      <c r="B36" s="210"/>
      <c r="C36" s="210"/>
      <c r="D36" s="210"/>
      <c r="E36" s="210"/>
      <c r="F36" s="210"/>
      <c r="G36" s="210"/>
      <c r="H36" s="210"/>
      <c r="I36" s="210"/>
      <c r="J36" s="210"/>
      <c r="K36" s="210"/>
      <c r="L36" s="210"/>
      <c r="M36" s="210"/>
      <c r="N36" s="210"/>
    </row>
    <row r="37" spans="1:14" s="211" customFormat="1" ht="15">
      <c r="A37" s="210"/>
      <c r="B37" s="210"/>
      <c r="C37" s="210"/>
      <c r="D37" s="210"/>
      <c r="E37" s="210"/>
      <c r="F37" s="210"/>
      <c r="G37" s="210"/>
      <c r="H37" s="210"/>
      <c r="I37" s="210"/>
      <c r="J37" s="210"/>
      <c r="K37" s="210"/>
      <c r="L37" s="210"/>
      <c r="M37" s="210"/>
      <c r="N37" s="210"/>
    </row>
    <row r="38" spans="1:14" s="211" customFormat="1" ht="15">
      <c r="A38" s="210"/>
      <c r="B38" s="210"/>
      <c r="C38" s="210"/>
      <c r="D38" s="210"/>
      <c r="E38" s="210"/>
      <c r="F38" s="210"/>
      <c r="G38" s="210"/>
      <c r="H38" s="210"/>
      <c r="I38" s="210"/>
      <c r="J38" s="210"/>
      <c r="K38" s="210"/>
      <c r="L38" s="210"/>
      <c r="M38" s="210"/>
      <c r="N38" s="210"/>
    </row>
    <row r="39" spans="1:14" s="211" customFormat="1" ht="15">
      <c r="A39" s="210"/>
      <c r="B39" s="210"/>
      <c r="C39" s="210"/>
      <c r="D39" s="210"/>
      <c r="E39" s="210"/>
      <c r="F39" s="210"/>
      <c r="G39" s="210"/>
      <c r="H39" s="210"/>
      <c r="I39" s="210"/>
      <c r="J39" s="210"/>
      <c r="K39" s="210"/>
      <c r="L39" s="210"/>
      <c r="M39" s="210"/>
      <c r="N39" s="210"/>
    </row>
    <row r="40" spans="1:14" s="211" customFormat="1" ht="15">
      <c r="A40" s="210"/>
      <c r="B40" s="210"/>
      <c r="C40" s="210"/>
      <c r="D40" s="210"/>
      <c r="E40" s="210"/>
      <c r="F40" s="210"/>
      <c r="G40" s="210"/>
      <c r="H40" s="210"/>
      <c r="I40" s="210"/>
      <c r="J40" s="210"/>
      <c r="K40" s="210"/>
      <c r="L40" s="210"/>
      <c r="M40" s="210"/>
      <c r="N40" s="210"/>
    </row>
    <row r="41" spans="1:14" s="211" customFormat="1" ht="15">
      <c r="A41" s="210"/>
      <c r="B41" s="210"/>
      <c r="C41" s="210"/>
      <c r="D41" s="210"/>
      <c r="E41" s="210"/>
      <c r="F41" s="210"/>
      <c r="G41" s="210"/>
      <c r="H41" s="210"/>
      <c r="I41" s="210"/>
      <c r="J41" s="210"/>
      <c r="K41" s="210"/>
      <c r="L41" s="210"/>
      <c r="M41" s="210"/>
      <c r="N41" s="210"/>
    </row>
    <row r="42" spans="1:14" s="211" customFormat="1" ht="15">
      <c r="A42" s="210"/>
      <c r="B42" s="210"/>
      <c r="C42" s="210"/>
      <c r="D42" s="210"/>
      <c r="E42" s="210"/>
      <c r="F42" s="210"/>
      <c r="G42" s="210"/>
      <c r="H42" s="210"/>
      <c r="I42" s="210"/>
      <c r="J42" s="210"/>
      <c r="K42" s="210"/>
      <c r="L42" s="210"/>
      <c r="M42" s="210"/>
      <c r="N42" s="210"/>
    </row>
    <row r="43" spans="1:14" s="211" customFormat="1" ht="15">
      <c r="A43" s="210"/>
      <c r="B43" s="210"/>
      <c r="C43" s="210"/>
      <c r="D43" s="210"/>
      <c r="E43" s="210"/>
      <c r="F43" s="210"/>
      <c r="G43" s="210"/>
      <c r="H43" s="210"/>
      <c r="I43" s="210"/>
      <c r="J43" s="210"/>
      <c r="K43" s="210"/>
      <c r="L43" s="210"/>
      <c r="M43" s="210"/>
      <c r="N43" s="210"/>
    </row>
    <row r="44" spans="1:14" s="211" customFormat="1" ht="15">
      <c r="A44" s="210"/>
      <c r="B44" s="210"/>
      <c r="C44" s="210"/>
      <c r="D44" s="210"/>
      <c r="E44" s="210"/>
      <c r="F44" s="210"/>
      <c r="G44" s="210"/>
      <c r="H44" s="210"/>
      <c r="I44" s="210"/>
      <c r="J44" s="210"/>
      <c r="K44" s="210"/>
      <c r="L44" s="210"/>
      <c r="M44" s="210"/>
      <c r="N44" s="210"/>
    </row>
    <row r="45" spans="1:14" s="211" customFormat="1" ht="15">
      <c r="A45" s="210"/>
      <c r="B45" s="210"/>
      <c r="C45" s="210"/>
      <c r="D45" s="210"/>
      <c r="E45" s="210"/>
      <c r="F45" s="210"/>
      <c r="G45" s="210"/>
      <c r="H45" s="210"/>
      <c r="I45" s="210"/>
      <c r="J45" s="210"/>
      <c r="K45" s="210"/>
      <c r="L45" s="210"/>
      <c r="M45" s="210"/>
      <c r="N45" s="210"/>
    </row>
    <row r="46" spans="1:14" s="211" customFormat="1" ht="15">
      <c r="A46" s="210"/>
      <c r="B46" s="210"/>
      <c r="C46" s="210"/>
      <c r="D46" s="210"/>
      <c r="E46" s="210"/>
      <c r="F46" s="210"/>
      <c r="G46" s="210"/>
      <c r="H46" s="210"/>
      <c r="I46" s="210"/>
      <c r="J46" s="210"/>
      <c r="K46" s="210"/>
      <c r="L46" s="210"/>
      <c r="M46" s="210"/>
      <c r="N46" s="210"/>
    </row>
    <row r="47" spans="1:14" s="211" customFormat="1" ht="15">
      <c r="A47" s="210"/>
      <c r="B47" s="210"/>
      <c r="C47" s="210"/>
      <c r="D47" s="210"/>
      <c r="E47" s="210"/>
      <c r="F47" s="210"/>
      <c r="G47" s="210"/>
      <c r="H47" s="210"/>
      <c r="I47" s="210"/>
      <c r="J47" s="210"/>
      <c r="K47" s="210"/>
      <c r="L47" s="210"/>
      <c r="M47" s="210"/>
      <c r="N47" s="210"/>
    </row>
    <row r="48" spans="1:14" s="211" customFormat="1" ht="15">
      <c r="A48" s="210"/>
      <c r="B48" s="210"/>
      <c r="C48" s="210"/>
      <c r="D48" s="210"/>
      <c r="E48" s="210"/>
      <c r="F48" s="210"/>
      <c r="G48" s="210"/>
      <c r="H48" s="210"/>
      <c r="I48" s="210"/>
      <c r="J48" s="210"/>
      <c r="K48" s="210"/>
      <c r="L48" s="210"/>
      <c r="M48" s="210"/>
      <c r="N48" s="210"/>
    </row>
    <row r="49" spans="1:14" s="211" customFormat="1" ht="15">
      <c r="A49" s="210"/>
      <c r="B49" s="210"/>
      <c r="C49" s="210"/>
      <c r="D49" s="210"/>
      <c r="E49" s="210"/>
      <c r="F49" s="210"/>
      <c r="G49" s="210"/>
      <c r="H49" s="210"/>
      <c r="I49" s="210"/>
      <c r="J49" s="210"/>
      <c r="K49" s="210"/>
      <c r="L49" s="210"/>
      <c r="M49" s="210"/>
      <c r="N49" s="210"/>
    </row>
    <row r="50" spans="1:14" s="211" customFormat="1" ht="15">
      <c r="A50" s="210"/>
      <c r="B50" s="210"/>
      <c r="C50" s="210"/>
      <c r="D50" s="210"/>
      <c r="E50" s="210"/>
      <c r="F50" s="210"/>
      <c r="G50" s="210"/>
      <c r="H50" s="210"/>
      <c r="I50" s="210"/>
      <c r="J50" s="210"/>
      <c r="K50" s="210"/>
      <c r="L50" s="210"/>
      <c r="M50" s="210"/>
      <c r="N50" s="210"/>
    </row>
    <row r="51" spans="1:14" s="211" customFormat="1" ht="15">
      <c r="A51" s="210"/>
      <c r="B51" s="210"/>
      <c r="C51" s="210"/>
      <c r="D51" s="210"/>
      <c r="E51" s="210"/>
      <c r="F51" s="210"/>
      <c r="G51" s="210"/>
      <c r="H51" s="210"/>
      <c r="I51" s="210"/>
      <c r="J51" s="210"/>
      <c r="K51" s="210"/>
      <c r="L51" s="210"/>
      <c r="M51" s="210"/>
      <c r="N51" s="210"/>
    </row>
    <row r="52" spans="1:14" s="211" customFormat="1" ht="15">
      <c r="A52" s="210"/>
      <c r="B52" s="210"/>
      <c r="C52" s="210"/>
      <c r="D52" s="210"/>
      <c r="E52" s="210"/>
      <c r="F52" s="210"/>
      <c r="G52" s="210"/>
      <c r="H52" s="210"/>
      <c r="I52" s="210"/>
      <c r="J52" s="210"/>
      <c r="K52" s="210"/>
      <c r="L52" s="210"/>
      <c r="M52" s="210"/>
      <c r="N52" s="210"/>
    </row>
    <row r="53" spans="1:14" s="211" customFormat="1" ht="15">
      <c r="A53" s="210"/>
      <c r="B53" s="210"/>
      <c r="C53" s="210"/>
      <c r="D53" s="210"/>
      <c r="E53" s="210"/>
      <c r="F53" s="210"/>
      <c r="G53" s="210"/>
      <c r="H53" s="210"/>
      <c r="I53" s="210"/>
      <c r="J53" s="210"/>
      <c r="K53" s="210"/>
      <c r="L53" s="210"/>
      <c r="M53" s="210"/>
      <c r="N53" s="210"/>
    </row>
    <row r="54" spans="1:14" s="211" customFormat="1" ht="15">
      <c r="A54" s="210"/>
      <c r="B54" s="210"/>
      <c r="C54" s="210"/>
      <c r="D54" s="210"/>
      <c r="E54" s="210"/>
      <c r="F54" s="210"/>
      <c r="G54" s="210"/>
      <c r="H54" s="210"/>
      <c r="I54" s="210"/>
      <c r="J54" s="210"/>
      <c r="K54" s="210"/>
      <c r="L54" s="210"/>
      <c r="M54" s="210"/>
      <c r="N54" s="210"/>
    </row>
    <row r="55" spans="1:14" s="211" customFormat="1" ht="15">
      <c r="A55" s="210"/>
      <c r="B55" s="210"/>
      <c r="C55" s="210"/>
      <c r="D55" s="210"/>
      <c r="E55" s="210"/>
      <c r="F55" s="210"/>
      <c r="G55" s="210"/>
      <c r="H55" s="210"/>
      <c r="I55" s="210"/>
      <c r="J55" s="210"/>
      <c r="K55" s="210"/>
      <c r="L55" s="210"/>
      <c r="M55" s="210"/>
      <c r="N55" s="210"/>
    </row>
    <row r="56" spans="1:14" s="211" customFormat="1" ht="15">
      <c r="A56" s="210"/>
      <c r="B56" s="210"/>
      <c r="C56" s="210"/>
      <c r="D56" s="210"/>
      <c r="E56" s="210"/>
      <c r="F56" s="210"/>
      <c r="G56" s="210"/>
      <c r="H56" s="210"/>
      <c r="I56" s="210"/>
      <c r="J56" s="210"/>
      <c r="K56" s="210"/>
      <c r="L56" s="210"/>
      <c r="M56" s="210"/>
      <c r="N56" s="210"/>
    </row>
    <row r="57" spans="1:14" s="211" customFormat="1" ht="15">
      <c r="A57" s="210"/>
      <c r="B57" s="210"/>
      <c r="C57" s="210"/>
      <c r="D57" s="210"/>
      <c r="E57" s="210"/>
      <c r="F57" s="210"/>
      <c r="G57" s="210"/>
      <c r="H57" s="210"/>
      <c r="I57" s="210"/>
      <c r="J57" s="210"/>
      <c r="K57" s="210"/>
      <c r="L57" s="210"/>
      <c r="M57" s="210"/>
      <c r="N57" s="210"/>
    </row>
    <row r="58" spans="1:14" s="211" customFormat="1" ht="15">
      <c r="A58" s="210"/>
      <c r="B58" s="210"/>
      <c r="C58" s="210"/>
      <c r="D58" s="210"/>
      <c r="E58" s="210"/>
      <c r="F58" s="210"/>
      <c r="G58" s="210"/>
      <c r="H58" s="210"/>
      <c r="I58" s="210"/>
      <c r="J58" s="210"/>
      <c r="K58" s="210"/>
      <c r="L58" s="210"/>
      <c r="M58" s="210"/>
      <c r="N58" s="210"/>
    </row>
    <row r="59" spans="1:14" s="211" customFormat="1" ht="15">
      <c r="A59" s="210"/>
      <c r="B59" s="210"/>
      <c r="C59" s="210"/>
      <c r="D59" s="210"/>
      <c r="E59" s="210"/>
      <c r="F59" s="210"/>
      <c r="G59" s="210"/>
      <c r="H59" s="210"/>
      <c r="I59" s="210"/>
      <c r="J59" s="210"/>
      <c r="K59" s="210"/>
      <c r="L59" s="210"/>
      <c r="M59" s="210"/>
      <c r="N59" s="210"/>
    </row>
    <row r="60" spans="1:14" s="211" customFormat="1" ht="15">
      <c r="A60" s="210"/>
      <c r="B60" s="210"/>
      <c r="C60" s="210"/>
      <c r="D60" s="210"/>
      <c r="E60" s="210"/>
      <c r="F60" s="210"/>
      <c r="G60" s="210"/>
      <c r="H60" s="210"/>
      <c r="I60" s="210"/>
      <c r="J60" s="210"/>
      <c r="K60" s="210"/>
      <c r="L60" s="210"/>
      <c r="M60" s="210"/>
      <c r="N60" s="210"/>
    </row>
  </sheetData>
  <sheetProtection/>
  <mergeCells count="2">
    <mergeCell ref="A6:I6"/>
    <mergeCell ref="A4:E4"/>
  </mergeCells>
  <hyperlinks>
    <hyperlink ref="E1" location="Indice!A1" display="Indice"/>
  </hyperlinks>
  <printOptions/>
  <pageMargins left="0.7" right="0.7" top="0.75" bottom="0.75" header="0.3" footer="0.3"/>
  <pageSetup horizontalDpi="600" verticalDpi="600" orientation="portrait" paperSize="9" r:id="rId1"/>
</worksheet>
</file>

<file path=xl/worksheets/sheet43.xml><?xml version="1.0" encoding="utf-8"?>
<worksheet xmlns="http://schemas.openxmlformats.org/spreadsheetml/2006/main" xmlns:r="http://schemas.openxmlformats.org/officeDocument/2006/relationships">
  <sheetPr codeName="Hoja42"/>
  <dimension ref="A1:N15"/>
  <sheetViews>
    <sheetView zoomScalePageLayoutView="0" workbookViewId="0" topLeftCell="A1">
      <selection activeCell="A6" sqref="A6:I6"/>
    </sheetView>
  </sheetViews>
  <sheetFormatPr defaultColWidth="11.421875" defaultRowHeight="15"/>
  <cols>
    <col min="1" max="5" width="24.421875" style="154" customWidth="1"/>
    <col min="6" max="6" width="12.8515625" style="154" customWidth="1"/>
    <col min="7" max="7" width="11.421875" style="154" customWidth="1"/>
    <col min="8" max="8" width="17.28125" style="154" customWidth="1"/>
    <col min="9" max="14" width="11.421875" style="154" customWidth="1"/>
  </cols>
  <sheetData>
    <row r="1" spans="1:5" ht="15">
      <c r="A1" s="154" t="str">
        <f>Indice!C1</f>
        <v>IMPORT CENTER S.A.</v>
      </c>
      <c r="E1" s="177" t="s">
        <v>365</v>
      </c>
    </row>
    <row r="2" ht="15">
      <c r="C2" s="164"/>
    </row>
    <row r="4" spans="1:9" ht="15">
      <c r="A4" s="306" t="s">
        <v>366</v>
      </c>
      <c r="B4" s="306"/>
      <c r="C4" s="306"/>
      <c r="D4" s="306"/>
      <c r="E4" s="306"/>
      <c r="F4" s="306"/>
      <c r="G4" s="306"/>
      <c r="H4" s="306"/>
      <c r="I4" s="307"/>
    </row>
    <row r="5" spans="1:9" ht="15">
      <c r="A5" s="753" t="s">
        <v>173</v>
      </c>
      <c r="B5" s="753"/>
      <c r="C5" s="753"/>
      <c r="D5" s="753"/>
      <c r="E5" s="753"/>
      <c r="F5" s="753"/>
      <c r="G5" s="753"/>
      <c r="H5" s="753"/>
      <c r="I5" s="753"/>
    </row>
    <row r="6" spans="1:14" s="211" customFormat="1" ht="15" customHeight="1">
      <c r="A6" s="761" t="str">
        <f>_xlfn.IFERROR("Los principales contratos suscriptos por la Sociedad, vigentes al  "&amp;DAY(Indice!B6)&amp;" de "&amp;VLOOKUP(MONTH(Indice!B6),Indice!S:T,2,0)&amp;" de "&amp;YEAR(Indice!B6-1)&amp;" son:","Los principales contratos suscriptos por la Sociedad, vigentes al … de …  20X2 son:")</f>
        <v>Los principales contratos suscriptos por la Sociedad, vigentes al  31 de Diciembre de 2021 son:</v>
      </c>
      <c r="B6" s="761"/>
      <c r="C6" s="761"/>
      <c r="D6" s="761"/>
      <c r="E6" s="761"/>
      <c r="F6" s="761"/>
      <c r="G6" s="761"/>
      <c r="H6" s="761"/>
      <c r="I6" s="761"/>
      <c r="J6" s="210"/>
      <c r="K6" s="210"/>
      <c r="L6" s="210"/>
      <c r="M6" s="210"/>
      <c r="N6" s="210"/>
    </row>
    <row r="7" spans="1:14" s="211" customFormat="1" ht="15">
      <c r="A7" s="210" t="s">
        <v>174</v>
      </c>
      <c r="B7" s="210"/>
      <c r="C7" s="210"/>
      <c r="D7" s="210"/>
      <c r="E7" s="210"/>
      <c r="F7" s="210"/>
      <c r="G7" s="210"/>
      <c r="H7" s="210"/>
      <c r="I7" s="210"/>
      <c r="J7" s="210"/>
      <c r="K7" s="210"/>
      <c r="L7" s="210"/>
      <c r="M7" s="210"/>
      <c r="N7" s="210"/>
    </row>
    <row r="8" s="210" customFormat="1" ht="15">
      <c r="A8" s="210" t="s">
        <v>175</v>
      </c>
    </row>
    <row r="9" spans="1:14" s="211" customFormat="1" ht="15">
      <c r="A9" s="210"/>
      <c r="B9" s="210"/>
      <c r="C9" s="210"/>
      <c r="D9" s="210"/>
      <c r="E9" s="210"/>
      <c r="F9" s="210"/>
      <c r="G9" s="210"/>
      <c r="H9" s="210"/>
      <c r="I9" s="210"/>
      <c r="J9" s="210"/>
      <c r="K9" s="210"/>
      <c r="L9" s="210"/>
      <c r="M9" s="210"/>
      <c r="N9" s="210"/>
    </row>
    <row r="10" spans="2:14" s="211" customFormat="1" ht="15">
      <c r="B10" s="210"/>
      <c r="C10" s="210"/>
      <c r="D10" s="210"/>
      <c r="E10" s="210"/>
      <c r="F10" s="210"/>
      <c r="G10" s="210"/>
      <c r="H10" s="210"/>
      <c r="I10" s="210"/>
      <c r="J10" s="210"/>
      <c r="K10" s="210"/>
      <c r="L10" s="210"/>
      <c r="M10" s="210"/>
      <c r="N10" s="210"/>
    </row>
    <row r="11" spans="1:14" s="211" customFormat="1" ht="15">
      <c r="A11" s="762" t="str">
        <f>_xlfn.IFERROR("Al  "&amp;DAY(Indice!B6)&amp;" de "&amp;VLOOKUP(MONTH(Indice!B6),Indice!S:T,2,0)&amp;" de "&amp;YEAR(Indice!B6-1)&amp;" no existen situaciones contingentes, ni reclamos que pudieran resultar en la generación de obligaciones para la Sociedad adicionales a las que se presentan en estos estados financieros.","Al … de …………... 20X2 no existen situaciones contingentes, ni reclamos que pudieran resultar en la generación de obligaciones para la Sociedad adicionales a las que se presentan en estos estados financieros.")</f>
        <v>Al  31 de Diciembre de 2021 no existen situaciones contingentes, ni reclamos que pudieran resultar en la generación de obligaciones para la Sociedad adicionales a las que se presentan en estos estados financieros.</v>
      </c>
      <c r="B11" s="762"/>
      <c r="C11" s="762"/>
      <c r="D11" s="762"/>
      <c r="E11" s="762"/>
      <c r="F11" s="762"/>
      <c r="G11" s="762"/>
      <c r="H11" s="762"/>
      <c r="I11" s="210"/>
      <c r="J11" s="210"/>
      <c r="K11" s="210"/>
      <c r="L11" s="210"/>
      <c r="M11" s="210"/>
      <c r="N11" s="210"/>
    </row>
    <row r="12" spans="1:14" s="211" customFormat="1" ht="16.5" customHeight="1">
      <c r="A12" s="762"/>
      <c r="B12" s="762"/>
      <c r="C12" s="762"/>
      <c r="D12" s="762"/>
      <c r="E12" s="762"/>
      <c r="F12" s="762"/>
      <c r="G12" s="762"/>
      <c r="H12" s="762"/>
      <c r="I12" s="317"/>
      <c r="J12" s="210"/>
      <c r="K12" s="210"/>
      <c r="L12" s="210"/>
      <c r="M12" s="210"/>
      <c r="N12" s="210"/>
    </row>
    <row r="13" spans="1:14" s="211" customFormat="1" ht="15">
      <c r="A13" s="210"/>
      <c r="B13" s="210"/>
      <c r="C13" s="210"/>
      <c r="D13" s="210"/>
      <c r="E13" s="210"/>
      <c r="F13" s="210"/>
      <c r="G13" s="210"/>
      <c r="H13" s="210"/>
      <c r="I13" s="210"/>
      <c r="J13" s="210"/>
      <c r="K13" s="210"/>
      <c r="L13" s="210"/>
      <c r="M13" s="210"/>
      <c r="N13" s="210"/>
    </row>
    <row r="14" spans="1:14" s="211" customFormat="1" ht="15">
      <c r="A14" s="210"/>
      <c r="B14" s="210"/>
      <c r="C14" s="210"/>
      <c r="D14" s="210"/>
      <c r="E14" s="210"/>
      <c r="F14" s="210"/>
      <c r="G14" s="210"/>
      <c r="H14" s="210"/>
      <c r="I14" s="210"/>
      <c r="J14" s="210"/>
      <c r="K14" s="210"/>
      <c r="L14" s="210"/>
      <c r="M14" s="210"/>
      <c r="N14" s="210"/>
    </row>
    <row r="15" spans="1:14" s="211" customFormat="1" ht="21" customHeight="1">
      <c r="A15" s="728" t="s">
        <v>388</v>
      </c>
      <c r="B15" s="728"/>
      <c r="C15" s="728"/>
      <c r="D15" s="728"/>
      <c r="E15" s="728"/>
      <c r="F15" s="728"/>
      <c r="G15" s="728"/>
      <c r="H15" s="728"/>
      <c r="I15" s="318"/>
      <c r="J15" s="210"/>
      <c r="K15" s="210"/>
      <c r="L15" s="210"/>
      <c r="M15" s="210"/>
      <c r="N15" s="210"/>
    </row>
  </sheetData>
  <sheetProtection/>
  <mergeCells count="4">
    <mergeCell ref="A15:H15"/>
    <mergeCell ref="A5:I5"/>
    <mergeCell ref="A6:I6"/>
    <mergeCell ref="A11:H12"/>
  </mergeCells>
  <hyperlinks>
    <hyperlink ref="E1" location="Indice!A1" display="Indice"/>
  </hyperlinks>
  <printOptions/>
  <pageMargins left="0.7" right="0.7" top="0.75" bottom="0.75" header="0.3" footer="0.3"/>
  <pageSetup horizontalDpi="600" verticalDpi="600" orientation="portrait" paperSize="9" r:id="rId1"/>
</worksheet>
</file>

<file path=xl/worksheets/sheet44.xml><?xml version="1.0" encoding="utf-8"?>
<worksheet xmlns="http://schemas.openxmlformats.org/spreadsheetml/2006/main" xmlns:r="http://schemas.openxmlformats.org/officeDocument/2006/relationships">
  <sheetPr codeName="Hoja43"/>
  <dimension ref="A1:AY25"/>
  <sheetViews>
    <sheetView zoomScalePageLayoutView="0" workbookViewId="0" topLeftCell="A13">
      <selection activeCell="A1" sqref="A1"/>
    </sheetView>
  </sheetViews>
  <sheetFormatPr defaultColWidth="11.421875" defaultRowHeight="15"/>
  <cols>
    <col min="1" max="1" width="47.8515625" style="154" customWidth="1"/>
    <col min="2" max="2" width="22.57421875" style="154" customWidth="1"/>
    <col min="3" max="3" width="26.140625" style="154" customWidth="1"/>
    <col min="4" max="51" width="11.421875" style="154" customWidth="1"/>
  </cols>
  <sheetData>
    <row r="1" spans="1:4" ht="15">
      <c r="A1" s="154" t="str">
        <f>Indice!C1</f>
        <v>IMPORT CENTER S.A.</v>
      </c>
      <c r="D1" s="177" t="s">
        <v>880</v>
      </c>
    </row>
    <row r="4" spans="1:7" ht="15">
      <c r="A4" s="763" t="s">
        <v>372</v>
      </c>
      <c r="B4" s="763"/>
      <c r="C4" s="763"/>
      <c r="D4" s="763"/>
      <c r="E4" s="763"/>
      <c r="F4" s="763"/>
      <c r="G4" s="763"/>
    </row>
    <row r="5" ht="15">
      <c r="A5" s="304" t="s">
        <v>227</v>
      </c>
    </row>
    <row r="6" spans="1:11" ht="59.25" customHeight="1">
      <c r="A6" s="764" t="s">
        <v>386</v>
      </c>
      <c r="B6" s="764"/>
      <c r="C6" s="764"/>
      <c r="D6" s="764"/>
      <c r="E6" s="764"/>
      <c r="F6" s="764"/>
      <c r="G6" s="764"/>
      <c r="H6" s="315"/>
      <c r="I6" s="315"/>
      <c r="J6" s="315"/>
      <c r="K6" s="315"/>
    </row>
    <row r="7" spans="1:11" ht="55.5" customHeight="1">
      <c r="A7" s="765" t="s">
        <v>373</v>
      </c>
      <c r="B7" s="765"/>
      <c r="C7" s="765"/>
      <c r="D7" s="765"/>
      <c r="E7" s="765"/>
      <c r="F7" s="765"/>
      <c r="G7" s="765"/>
      <c r="H7" s="315"/>
      <c r="I7" s="315"/>
      <c r="J7" s="315"/>
      <c r="K7" s="315"/>
    </row>
    <row r="8" ht="15.75">
      <c r="A8" s="308"/>
    </row>
    <row r="9" spans="1:11" s="154" customFormat="1" ht="21.75" customHeight="1">
      <c r="A9" s="766" t="s">
        <v>374</v>
      </c>
      <c r="B9" s="766"/>
      <c r="C9" s="766"/>
      <c r="D9" s="766"/>
      <c r="E9" s="766"/>
      <c r="F9" s="766"/>
      <c r="G9" s="766"/>
      <c r="H9" s="316"/>
      <c r="I9" s="316"/>
      <c r="J9" s="316"/>
      <c r="K9" s="316"/>
    </row>
    <row r="11" spans="1:51" s="371" customFormat="1" ht="15" customHeight="1">
      <c r="A11" s="374"/>
      <c r="B11" s="427">
        <f>_xlfn.IFERROR(IF(Indice!B6="","2XX2",YEAR(Indice!B6)),"2XX2")</f>
        <v>2021</v>
      </c>
      <c r="C11" s="427">
        <f>+_xlfn.IFERROR(YEAR(Indice!B6-365),"2XX1")</f>
        <v>2020</v>
      </c>
      <c r="D11" s="154"/>
      <c r="E11" s="154"/>
      <c r="F11" s="154"/>
      <c r="G11" s="154"/>
      <c r="H11" s="154"/>
      <c r="I11" s="154"/>
      <c r="J11" s="154"/>
      <c r="K11" s="154"/>
      <c r="L11" s="154"/>
      <c r="M11" s="154"/>
      <c r="N11" s="154"/>
      <c r="O11" s="154"/>
      <c r="P11" s="154"/>
      <c r="Q11" s="154"/>
      <c r="R11" s="154"/>
      <c r="S11" s="154"/>
      <c r="T11" s="154"/>
      <c r="U11" s="154"/>
      <c r="V11" s="154"/>
      <c r="W11" s="154"/>
      <c r="X11" s="154"/>
      <c r="Y11" s="154"/>
      <c r="Z11" s="154"/>
      <c r="AA11" s="154"/>
      <c r="AB11" s="154"/>
      <c r="AC11" s="154"/>
      <c r="AD11" s="154"/>
      <c r="AE11" s="154"/>
      <c r="AF11" s="154"/>
      <c r="AG11" s="154"/>
      <c r="AH11" s="154"/>
      <c r="AI11" s="154"/>
      <c r="AJ11" s="154"/>
      <c r="AK11" s="154"/>
      <c r="AL11" s="154"/>
      <c r="AM11" s="154"/>
      <c r="AN11" s="154"/>
      <c r="AO11" s="154"/>
      <c r="AP11" s="154"/>
      <c r="AQ11" s="154"/>
      <c r="AR11" s="154"/>
      <c r="AS11" s="154"/>
      <c r="AT11" s="154"/>
      <c r="AU11" s="154"/>
      <c r="AV11" s="154"/>
      <c r="AW11" s="154"/>
      <c r="AX11" s="154"/>
      <c r="AY11" s="154"/>
    </row>
    <row r="12" spans="1:3" ht="15.75">
      <c r="A12" s="309" t="s">
        <v>375</v>
      </c>
      <c r="B12" s="310"/>
      <c r="C12" s="310"/>
    </row>
    <row r="13" spans="1:3" ht="15.75">
      <c r="A13" s="309" t="s">
        <v>376</v>
      </c>
      <c r="B13" s="310"/>
      <c r="C13" s="310"/>
    </row>
    <row r="14" spans="1:3" ht="15.75">
      <c r="A14" s="309" t="s">
        <v>123</v>
      </c>
      <c r="B14" s="310"/>
      <c r="C14" s="310"/>
    </row>
    <row r="15" spans="1:3" ht="15.75">
      <c r="A15" s="309" t="s">
        <v>377</v>
      </c>
      <c r="B15" s="310"/>
      <c r="C15" s="310"/>
    </row>
    <row r="16" spans="1:3" ht="15.75">
      <c r="A16" s="309" t="s">
        <v>378</v>
      </c>
      <c r="B16" s="311"/>
      <c r="C16" s="310"/>
    </row>
    <row r="17" spans="1:3" ht="15.75">
      <c r="A17" s="309" t="s">
        <v>122</v>
      </c>
      <c r="B17" s="311"/>
      <c r="C17" s="310"/>
    </row>
    <row r="18" spans="1:3" ht="15.75">
      <c r="A18" s="309" t="s">
        <v>379</v>
      </c>
      <c r="B18" s="311"/>
      <c r="C18" s="310"/>
    </row>
    <row r="19" spans="1:3" ht="15.75">
      <c r="A19" s="309" t="s">
        <v>380</v>
      </c>
      <c r="B19" s="311"/>
      <c r="C19" s="310"/>
    </row>
    <row r="20" spans="1:3" ht="15.75">
      <c r="A20" s="309" t="s">
        <v>381</v>
      </c>
      <c r="B20" s="311"/>
      <c r="C20" s="310"/>
    </row>
    <row r="21" spans="1:3" ht="15.75">
      <c r="A21" s="309" t="s">
        <v>382</v>
      </c>
      <c r="B21" s="311"/>
      <c r="C21" s="310"/>
    </row>
    <row r="22" spans="1:3" ht="15.75">
      <c r="A22" s="309" t="s">
        <v>383</v>
      </c>
      <c r="B22" s="311"/>
      <c r="C22" s="310"/>
    </row>
    <row r="23" spans="1:3" ht="31.5">
      <c r="A23" s="309" t="s">
        <v>384</v>
      </c>
      <c r="B23" s="311"/>
      <c r="C23" s="310"/>
    </row>
    <row r="24" spans="1:3" ht="15.75">
      <c r="A24" s="309" t="s">
        <v>385</v>
      </c>
      <c r="B24" s="311"/>
      <c r="C24" s="310"/>
    </row>
    <row r="25" spans="1:3" ht="15.75">
      <c r="A25" s="312" t="s">
        <v>3</v>
      </c>
      <c r="B25" s="313"/>
      <c r="C25" s="314"/>
    </row>
  </sheetData>
  <sheetProtection/>
  <mergeCells count="4">
    <mergeCell ref="A4:G4"/>
    <mergeCell ref="A6:G6"/>
    <mergeCell ref="A7:G7"/>
    <mergeCell ref="A9:G9"/>
  </mergeCells>
  <hyperlinks>
    <hyperlink ref="D1" location="Indice!A1" display="Índice"/>
  </hyperlinks>
  <printOptions/>
  <pageMargins left="0.7" right="0.7" top="0.75" bottom="0.75" header="0.3" footer="0.3"/>
  <pageSetup orientation="portrait" paperSize="9"/>
</worksheet>
</file>

<file path=xl/worksheets/sheet45.xml><?xml version="1.0" encoding="utf-8"?>
<worksheet xmlns="http://schemas.openxmlformats.org/spreadsheetml/2006/main" xmlns:r="http://schemas.openxmlformats.org/officeDocument/2006/relationships">
  <sheetPr codeName="Hoja44"/>
  <dimension ref="A1:N14"/>
  <sheetViews>
    <sheetView showGridLines="0" zoomScalePageLayoutView="0" workbookViewId="0" topLeftCell="A1">
      <selection activeCell="A10" sqref="A10"/>
    </sheetView>
  </sheetViews>
  <sheetFormatPr defaultColWidth="11.421875" defaultRowHeight="15"/>
  <cols>
    <col min="1" max="5" width="24.421875" style="154" customWidth="1"/>
    <col min="6" max="6" width="12.8515625" style="154" customWidth="1"/>
    <col min="7" max="7" width="11.421875" style="154" customWidth="1"/>
    <col min="8" max="8" width="17.28125" style="154" customWidth="1"/>
    <col min="9" max="14" width="11.421875" style="154" customWidth="1"/>
  </cols>
  <sheetData>
    <row r="1" spans="1:5" ht="15">
      <c r="A1" s="154" t="str">
        <f>Indice!C1</f>
        <v>IMPORT CENTER S.A.</v>
      </c>
      <c r="E1" s="177" t="s">
        <v>365</v>
      </c>
    </row>
    <row r="2" ht="15">
      <c r="C2" s="164"/>
    </row>
    <row r="5" spans="1:9" ht="15">
      <c r="A5" s="306" t="s">
        <v>387</v>
      </c>
      <c r="B5" s="306"/>
      <c r="C5" s="306"/>
      <c r="D5" s="306"/>
      <c r="E5" s="306"/>
      <c r="F5" s="306"/>
      <c r="G5" s="306"/>
      <c r="H5" s="306"/>
      <c r="I5" s="306"/>
    </row>
    <row r="6" spans="1:14" s="227" customFormat="1" ht="17.25" customHeight="1">
      <c r="A6" s="753" t="s">
        <v>176</v>
      </c>
      <c r="B6" s="753"/>
      <c r="C6" s="753"/>
      <c r="D6" s="753"/>
      <c r="E6" s="753"/>
      <c r="F6" s="753"/>
      <c r="G6" s="753"/>
      <c r="H6" s="753"/>
      <c r="I6" s="753"/>
      <c r="J6" s="226"/>
      <c r="K6" s="226"/>
      <c r="L6" s="226"/>
      <c r="M6" s="226"/>
      <c r="N6" s="226"/>
    </row>
    <row r="8" spans="1:14" s="211" customFormat="1" ht="15">
      <c r="A8" s="210"/>
      <c r="B8" s="210"/>
      <c r="C8" s="210"/>
      <c r="D8" s="210"/>
      <c r="E8" s="210"/>
      <c r="F8" s="210"/>
      <c r="G8" s="210"/>
      <c r="H8" s="210"/>
      <c r="I8" s="210"/>
      <c r="J8" s="210"/>
      <c r="K8" s="210"/>
      <c r="L8" s="210"/>
      <c r="M8" s="210"/>
      <c r="N8" s="210"/>
    </row>
    <row r="9" spans="1:9" s="210" customFormat="1" ht="39" customHeight="1">
      <c r="A9" s="762" t="s">
        <v>1010</v>
      </c>
      <c r="B9" s="762"/>
      <c r="C9" s="762"/>
      <c r="D9" s="762"/>
      <c r="E9" s="762"/>
      <c r="F9" s="762"/>
      <c r="G9" s="762"/>
      <c r="H9" s="762"/>
      <c r="I9" s="762"/>
    </row>
    <row r="10" spans="1:14" s="211" customFormat="1" ht="15">
      <c r="A10" s="210"/>
      <c r="B10" s="210"/>
      <c r="C10" s="210"/>
      <c r="D10" s="210"/>
      <c r="E10" s="210"/>
      <c r="F10" s="210"/>
      <c r="G10" s="210"/>
      <c r="H10" s="210"/>
      <c r="I10" s="210"/>
      <c r="J10" s="210"/>
      <c r="K10" s="210"/>
      <c r="L10" s="210"/>
      <c r="M10" s="210"/>
      <c r="N10" s="210"/>
    </row>
    <row r="11" spans="10:14" s="211" customFormat="1" ht="46.5" customHeight="1">
      <c r="J11" s="210"/>
      <c r="K11" s="210"/>
      <c r="L11" s="210"/>
      <c r="M11" s="210"/>
      <c r="N11" s="210"/>
    </row>
    <row r="12" spans="1:14" s="211" customFormat="1" ht="15">
      <c r="A12" s="210"/>
      <c r="B12" s="210"/>
      <c r="C12" s="210"/>
      <c r="D12" s="210"/>
      <c r="E12" s="210"/>
      <c r="F12" s="210"/>
      <c r="G12" s="210"/>
      <c r="H12" s="210"/>
      <c r="I12" s="210"/>
      <c r="J12" s="210"/>
      <c r="K12" s="210"/>
      <c r="L12" s="210"/>
      <c r="M12" s="210"/>
      <c r="N12" s="210"/>
    </row>
    <row r="13" spans="1:14" s="211" customFormat="1" ht="15">
      <c r="A13" s="767"/>
      <c r="B13" s="767"/>
      <c r="C13" s="767"/>
      <c r="D13" s="767"/>
      <c r="E13" s="767"/>
      <c r="F13" s="767"/>
      <c r="G13" s="767"/>
      <c r="H13" s="767"/>
      <c r="I13" s="767"/>
      <c r="J13" s="210"/>
      <c r="K13" s="210"/>
      <c r="L13" s="210"/>
      <c r="M13" s="210"/>
      <c r="N13" s="210"/>
    </row>
    <row r="14" spans="1:14" s="211" customFormat="1" ht="15">
      <c r="A14" s="210"/>
      <c r="B14" s="210"/>
      <c r="C14" s="210"/>
      <c r="D14" s="210"/>
      <c r="E14" s="210"/>
      <c r="F14" s="210"/>
      <c r="G14" s="210"/>
      <c r="H14" s="210"/>
      <c r="I14" s="210"/>
      <c r="J14" s="210"/>
      <c r="K14" s="210"/>
      <c r="L14" s="210"/>
      <c r="M14" s="210"/>
      <c r="N14" s="210"/>
    </row>
  </sheetData>
  <sheetProtection/>
  <mergeCells count="3">
    <mergeCell ref="A6:I6"/>
    <mergeCell ref="A9:I9"/>
    <mergeCell ref="A13:I13"/>
  </mergeCells>
  <hyperlinks>
    <hyperlink ref="E1" location="Indice!A1" display="Indice"/>
  </hyperlinks>
  <printOptions/>
  <pageMargins left="0.7" right="0.7" top="0.75" bottom="0.75" header="0.3" footer="0.3"/>
  <pageSetup horizontalDpi="600" verticalDpi="600" orientation="portrait" paperSize="9" r:id="rId1"/>
</worksheet>
</file>

<file path=xl/worksheets/sheet46.xml><?xml version="1.0" encoding="utf-8"?>
<worksheet xmlns="http://schemas.openxmlformats.org/spreadsheetml/2006/main" xmlns:r="http://schemas.openxmlformats.org/officeDocument/2006/relationships">
  <dimension ref="A1:H36"/>
  <sheetViews>
    <sheetView showGridLines="0" zoomScalePageLayoutView="0" workbookViewId="0" topLeftCell="A22">
      <selection activeCell="B32" sqref="B32"/>
    </sheetView>
  </sheetViews>
  <sheetFormatPr defaultColWidth="11.421875" defaultRowHeight="15"/>
  <cols>
    <col min="1" max="1" width="42.57421875" style="0" customWidth="1"/>
    <col min="2" max="2" width="17.00390625" style="0" customWidth="1"/>
    <col min="3" max="3" width="17.57421875" style="0" customWidth="1"/>
  </cols>
  <sheetData>
    <row r="1" spans="1:8" ht="15">
      <c r="A1" t="str">
        <f>Indice!C1</f>
        <v>IMPORT CENTER S.A.</v>
      </c>
      <c r="C1" s="469" t="s">
        <v>365</v>
      </c>
      <c r="H1" s="176"/>
    </row>
    <row r="5" spans="1:7" ht="15">
      <c r="A5" s="467" t="s">
        <v>876</v>
      </c>
      <c r="B5" s="467"/>
      <c r="C5" s="467"/>
      <c r="D5" s="467"/>
      <c r="E5" s="468"/>
      <c r="F5" s="468"/>
      <c r="G5" s="468"/>
    </row>
    <row r="6" spans="1:7" ht="15">
      <c r="A6" s="466" t="s">
        <v>245</v>
      </c>
      <c r="B6" s="463"/>
      <c r="C6" s="463"/>
      <c r="D6" s="463"/>
      <c r="E6" s="463"/>
      <c r="F6" s="463"/>
      <c r="G6" s="463"/>
    </row>
    <row r="7" spans="1:7" ht="15">
      <c r="A7" s="463"/>
      <c r="B7" s="463"/>
      <c r="C7" s="463"/>
      <c r="D7" s="463"/>
      <c r="E7" s="463"/>
      <c r="F7" s="463"/>
      <c r="G7" s="463"/>
    </row>
    <row r="8" spans="1:7" ht="15">
      <c r="A8" s="768"/>
      <c r="B8" s="768"/>
      <c r="C8" s="768"/>
      <c r="D8" s="768"/>
      <c r="E8" s="768"/>
      <c r="F8" s="768"/>
      <c r="G8" s="768"/>
    </row>
    <row r="9" spans="1:7" ht="15">
      <c r="A9" s="463"/>
      <c r="B9" s="463"/>
      <c r="C9" s="463"/>
      <c r="D9" s="463"/>
      <c r="E9" s="463"/>
      <c r="F9" s="463"/>
      <c r="G9" s="463"/>
    </row>
    <row r="10" spans="1:7" ht="15">
      <c r="A10" s="464"/>
      <c r="B10" s="427">
        <f>_xlfn.IFERROR(IF(Indice!B6="","2XX2",YEAR(Indice!B6)),"2XX2")</f>
        <v>2021</v>
      </c>
      <c r="C10" s="427">
        <f>+_xlfn.IFERROR(YEAR(Indice!B6-365),"2XX1")</f>
        <v>2020</v>
      </c>
      <c r="D10" s="463"/>
      <c r="E10" s="463"/>
      <c r="F10" s="463"/>
      <c r="G10" s="463"/>
    </row>
    <row r="11" spans="1:7" ht="15">
      <c r="A11" s="582" t="s">
        <v>864</v>
      </c>
      <c r="B11" s="583"/>
      <c r="C11" s="583"/>
      <c r="D11" s="584"/>
      <c r="E11" s="584"/>
      <c r="F11" s="584"/>
      <c r="G11" s="463"/>
    </row>
    <row r="12" spans="1:7" ht="15">
      <c r="A12" s="583" t="s">
        <v>109</v>
      </c>
      <c r="B12" s="583"/>
      <c r="C12" s="583"/>
      <c r="D12" s="584"/>
      <c r="E12" s="584"/>
      <c r="F12" s="584"/>
      <c r="G12" s="463"/>
    </row>
    <row r="13" spans="1:7" ht="15">
      <c r="A13" s="583" t="s">
        <v>865</v>
      </c>
      <c r="B13" s="583">
        <v>435153</v>
      </c>
      <c r="C13" s="583"/>
      <c r="D13" s="584"/>
      <c r="E13" s="584"/>
      <c r="F13" s="584"/>
      <c r="G13" s="463"/>
    </row>
    <row r="14" spans="1:7" ht="15">
      <c r="A14" s="583" t="s">
        <v>40</v>
      </c>
      <c r="B14" s="583"/>
      <c r="C14" s="583"/>
      <c r="D14" s="584"/>
      <c r="E14" s="584"/>
      <c r="F14" s="584"/>
      <c r="G14" s="463"/>
    </row>
    <row r="15" spans="1:7" ht="15">
      <c r="A15" s="582" t="s">
        <v>866</v>
      </c>
      <c r="B15" s="591">
        <f>+B13</f>
        <v>435153</v>
      </c>
      <c r="C15" s="591">
        <f>+C13</f>
        <v>0</v>
      </c>
      <c r="D15" s="584"/>
      <c r="E15" s="584"/>
      <c r="F15" s="584"/>
      <c r="G15" s="463"/>
    </row>
    <row r="16" spans="1:7" ht="15">
      <c r="A16" s="582" t="s">
        <v>867</v>
      </c>
      <c r="B16" s="585"/>
      <c r="C16" s="585"/>
      <c r="D16" s="584"/>
      <c r="E16" s="584"/>
      <c r="F16" s="584"/>
      <c r="G16" s="463"/>
    </row>
    <row r="17" spans="1:7" ht="15">
      <c r="A17" s="583" t="s">
        <v>110</v>
      </c>
      <c r="B17" s="583"/>
      <c r="C17" s="583"/>
      <c r="D17" s="584"/>
      <c r="E17" s="584"/>
      <c r="F17" s="584"/>
      <c r="G17" s="463"/>
    </row>
    <row r="18" spans="1:7" ht="15">
      <c r="A18" s="583" t="s">
        <v>111</v>
      </c>
      <c r="B18" s="583"/>
      <c r="C18" s="583"/>
      <c r="D18" s="584"/>
      <c r="E18" s="584"/>
      <c r="F18" s="584"/>
      <c r="G18" s="463"/>
    </row>
    <row r="19" spans="1:7" ht="15">
      <c r="A19" s="583" t="s">
        <v>69</v>
      </c>
      <c r="B19" s="583"/>
      <c r="C19" s="583"/>
      <c r="D19" s="584"/>
      <c r="E19" s="584"/>
      <c r="F19" s="584"/>
      <c r="G19" s="463"/>
    </row>
    <row r="20" spans="1:7" ht="15">
      <c r="A20" s="583" t="s">
        <v>868</v>
      </c>
      <c r="B20" s="583">
        <v>650000</v>
      </c>
      <c r="C20" s="583">
        <v>650000</v>
      </c>
      <c r="D20" s="584"/>
      <c r="E20" s="584"/>
      <c r="F20" s="584"/>
      <c r="G20" s="463"/>
    </row>
    <row r="21" spans="1:7" ht="15">
      <c r="A21" s="583" t="s">
        <v>869</v>
      </c>
      <c r="B21" s="583"/>
      <c r="C21" s="583"/>
      <c r="D21" s="584"/>
      <c r="E21" s="584"/>
      <c r="F21" s="584"/>
      <c r="G21" s="463"/>
    </row>
    <row r="22" spans="1:7" ht="15">
      <c r="A22" s="582" t="s">
        <v>870</v>
      </c>
      <c r="B22" s="591">
        <f>+B20</f>
        <v>650000</v>
      </c>
      <c r="C22" s="591">
        <f>+C20</f>
        <v>650000</v>
      </c>
      <c r="D22" s="584"/>
      <c r="E22" s="584"/>
      <c r="F22" s="584"/>
      <c r="G22" s="463"/>
    </row>
    <row r="23" spans="1:7" ht="15">
      <c r="A23" s="584"/>
      <c r="B23" s="584"/>
      <c r="C23" s="584"/>
      <c r="D23" s="584"/>
      <c r="E23" s="584"/>
      <c r="F23" s="584"/>
      <c r="G23" s="463"/>
    </row>
    <row r="24" spans="1:7" ht="15">
      <c r="A24" s="769"/>
      <c r="B24" s="769"/>
      <c r="C24" s="769"/>
      <c r="D24" s="769"/>
      <c r="E24" s="769"/>
      <c r="F24" s="769"/>
      <c r="G24" s="465"/>
    </row>
    <row r="25" spans="1:7" ht="15">
      <c r="A25" s="586"/>
      <c r="B25" s="586"/>
      <c r="C25" s="586"/>
      <c r="D25" s="586"/>
      <c r="E25" s="586"/>
      <c r="F25" s="586"/>
      <c r="G25" s="465"/>
    </row>
    <row r="26" spans="1:7" ht="15">
      <c r="A26" s="587"/>
      <c r="B26" s="588">
        <f>_xlfn.IFERROR(IF(Indice!B6="","2XX2",YEAR(Indice!B6)),"2XX2")</f>
        <v>2021</v>
      </c>
      <c r="C26" s="588">
        <f>+_xlfn.IFERROR(YEAR(Indice!B6-365),"2XX1")</f>
        <v>2020</v>
      </c>
      <c r="D26" s="586"/>
      <c r="E26" s="586"/>
      <c r="F26" s="586"/>
      <c r="G26" s="465"/>
    </row>
    <row r="27" spans="1:7" ht="15">
      <c r="A27" s="589" t="s">
        <v>152</v>
      </c>
      <c r="B27" s="590"/>
      <c r="C27" s="590"/>
      <c r="D27" s="586"/>
      <c r="E27" s="586"/>
      <c r="F27" s="586"/>
      <c r="G27" s="465"/>
    </row>
    <row r="28" spans="1:7" ht="15">
      <c r="A28" s="590" t="s">
        <v>871</v>
      </c>
      <c r="B28" s="590"/>
      <c r="C28" s="590"/>
      <c r="D28" s="586"/>
      <c r="E28" s="586"/>
      <c r="F28" s="586"/>
      <c r="G28" s="465"/>
    </row>
    <row r="29" spans="1:7" ht="15">
      <c r="A29" s="590"/>
      <c r="B29" s="590"/>
      <c r="C29" s="590"/>
      <c r="D29" s="586"/>
      <c r="E29" s="586"/>
      <c r="F29" s="586"/>
      <c r="G29" s="465"/>
    </row>
    <row r="30" spans="1:7" ht="15">
      <c r="A30" s="589" t="s">
        <v>167</v>
      </c>
      <c r="B30" s="589">
        <f>+B31</f>
        <v>520000</v>
      </c>
      <c r="C30" s="589">
        <f>+C31</f>
        <v>514583</v>
      </c>
      <c r="D30" s="586"/>
      <c r="E30" s="586"/>
      <c r="F30" s="586"/>
      <c r="G30" s="465"/>
    </row>
    <row r="31" spans="1:7" ht="15">
      <c r="A31" s="590" t="s">
        <v>872</v>
      </c>
      <c r="B31" s="590">
        <v>520000</v>
      </c>
      <c r="C31" s="590">
        <v>514583</v>
      </c>
      <c r="D31" s="586"/>
      <c r="E31" s="586"/>
      <c r="F31" s="586"/>
      <c r="G31" s="465"/>
    </row>
    <row r="32" spans="1:7" ht="15">
      <c r="A32" s="590" t="s">
        <v>873</v>
      </c>
      <c r="B32" s="590"/>
      <c r="C32" s="590"/>
      <c r="D32" s="586"/>
      <c r="E32" s="586"/>
      <c r="F32" s="586"/>
      <c r="G32" s="465"/>
    </row>
    <row r="33" spans="1:7" ht="15">
      <c r="A33" s="589" t="s">
        <v>874</v>
      </c>
      <c r="B33" s="590"/>
      <c r="C33" s="590"/>
      <c r="D33" s="586"/>
      <c r="E33" s="586"/>
      <c r="F33" s="586"/>
      <c r="G33" s="465"/>
    </row>
    <row r="34" spans="1:7" ht="15">
      <c r="A34" s="590" t="s">
        <v>875</v>
      </c>
      <c r="B34" s="590"/>
      <c r="C34" s="590"/>
      <c r="D34" s="586"/>
      <c r="E34" s="586"/>
      <c r="F34" s="586"/>
      <c r="G34" s="465"/>
    </row>
    <row r="35" spans="1:7" ht="15">
      <c r="A35" s="465"/>
      <c r="B35" s="465"/>
      <c r="C35" s="465"/>
      <c r="D35" s="465"/>
      <c r="E35" s="465"/>
      <c r="F35" s="465"/>
      <c r="G35" s="465"/>
    </row>
    <row r="36" spans="1:7" ht="15">
      <c r="A36" s="465"/>
      <c r="B36" s="465"/>
      <c r="C36" s="465"/>
      <c r="D36" s="465"/>
      <c r="E36" s="465"/>
      <c r="F36" s="465"/>
      <c r="G36" s="465"/>
    </row>
  </sheetData>
  <sheetProtection/>
  <mergeCells count="2">
    <mergeCell ref="A8:G8"/>
    <mergeCell ref="A24:F24"/>
  </mergeCells>
  <hyperlinks>
    <hyperlink ref="C1" location="Indice!A1" display="Indice"/>
  </hyperlinks>
  <printOptions/>
  <pageMargins left="0.7" right="0.7" top="0.75" bottom="0.75" header="0.3" footer="0.3"/>
  <pageSetup horizontalDpi="600" verticalDpi="600" orientation="portrait" r:id="rId1"/>
</worksheet>
</file>

<file path=xl/worksheets/sheet47.xml><?xml version="1.0" encoding="utf-8"?>
<worksheet xmlns="http://schemas.openxmlformats.org/spreadsheetml/2006/main" xmlns:r="http://schemas.openxmlformats.org/officeDocument/2006/relationships">
  <dimension ref="A1:C179"/>
  <sheetViews>
    <sheetView zoomScalePageLayoutView="0" workbookViewId="0" topLeftCell="A1">
      <selection activeCell="C1" sqref="C1"/>
    </sheetView>
  </sheetViews>
  <sheetFormatPr defaultColWidth="11.421875" defaultRowHeight="15"/>
  <cols>
    <col min="1" max="1" width="11.421875" style="319" customWidth="1"/>
    <col min="2" max="2" width="66.140625" style="319" bestFit="1" customWidth="1"/>
  </cols>
  <sheetData>
    <row r="1" spans="1:3" ht="15">
      <c r="A1" s="319" t="s">
        <v>410</v>
      </c>
      <c r="B1" s="319" t="s">
        <v>734</v>
      </c>
      <c r="C1" s="176" t="s">
        <v>880</v>
      </c>
    </row>
    <row r="2" spans="1:2" ht="15">
      <c r="A2" s="319" t="s">
        <v>409</v>
      </c>
      <c r="B2" s="319" t="s">
        <v>600</v>
      </c>
    </row>
    <row r="3" spans="1:2" ht="15">
      <c r="A3" s="319" t="s">
        <v>502</v>
      </c>
      <c r="B3" s="319" t="s">
        <v>666</v>
      </c>
    </row>
    <row r="4" spans="1:2" ht="15">
      <c r="A4" s="319" t="s">
        <v>458</v>
      </c>
      <c r="B4" s="319" t="s">
        <v>459</v>
      </c>
    </row>
    <row r="5" spans="1:2" ht="15">
      <c r="A5" s="319" t="s">
        <v>460</v>
      </c>
      <c r="B5" s="319" t="s">
        <v>614</v>
      </c>
    </row>
    <row r="6" spans="1:2" ht="15">
      <c r="A6" s="319" t="s">
        <v>461</v>
      </c>
      <c r="B6" s="319" t="s">
        <v>615</v>
      </c>
    </row>
    <row r="7" spans="1:2" ht="15">
      <c r="A7" s="319" t="s">
        <v>462</v>
      </c>
      <c r="B7" s="319" t="s">
        <v>616</v>
      </c>
    </row>
    <row r="8" spans="1:2" ht="15">
      <c r="A8" s="319" t="s">
        <v>463</v>
      </c>
      <c r="B8" s="319" t="s">
        <v>617</v>
      </c>
    </row>
    <row r="9" spans="1:2" ht="15">
      <c r="A9" s="319" t="s">
        <v>464</v>
      </c>
      <c r="B9" s="319" t="s">
        <v>618</v>
      </c>
    </row>
    <row r="10" spans="1:2" ht="15">
      <c r="A10" s="319" t="s">
        <v>465</v>
      </c>
      <c r="B10" s="319" t="s">
        <v>619</v>
      </c>
    </row>
    <row r="11" spans="1:2" ht="15">
      <c r="A11" s="319" t="s">
        <v>466</v>
      </c>
      <c r="B11" s="319" t="s">
        <v>620</v>
      </c>
    </row>
    <row r="12" spans="1:2" ht="15">
      <c r="A12" s="319" t="s">
        <v>467</v>
      </c>
      <c r="B12" s="319" t="s">
        <v>621</v>
      </c>
    </row>
    <row r="13" spans="1:2" ht="15">
      <c r="A13" s="319" t="s">
        <v>468</v>
      </c>
      <c r="B13" s="319" t="s">
        <v>622</v>
      </c>
    </row>
    <row r="14" spans="1:2" ht="15">
      <c r="A14" s="319" t="s">
        <v>469</v>
      </c>
      <c r="B14" s="319" t="s">
        <v>623</v>
      </c>
    </row>
    <row r="15" spans="1:2" ht="15">
      <c r="A15" s="319" t="s">
        <v>470</v>
      </c>
      <c r="B15" s="319" t="s">
        <v>624</v>
      </c>
    </row>
    <row r="16" spans="1:2" ht="15">
      <c r="A16" s="319" t="s">
        <v>471</v>
      </c>
      <c r="B16" s="319" t="s">
        <v>625</v>
      </c>
    </row>
    <row r="17" spans="1:2" ht="15">
      <c r="A17" s="319" t="s">
        <v>472</v>
      </c>
      <c r="B17" s="319" t="s">
        <v>626</v>
      </c>
    </row>
    <row r="18" spans="1:2" ht="15">
      <c r="A18" s="319" t="s">
        <v>473</v>
      </c>
      <c r="B18" s="319" t="s">
        <v>627</v>
      </c>
    </row>
    <row r="19" spans="1:2" ht="15">
      <c r="A19" s="319" t="s">
        <v>474</v>
      </c>
      <c r="B19" s="319" t="s">
        <v>628</v>
      </c>
    </row>
    <row r="20" spans="1:2" ht="15">
      <c r="A20" s="319" t="s">
        <v>475</v>
      </c>
      <c r="B20" s="319" t="s">
        <v>629</v>
      </c>
    </row>
    <row r="21" spans="1:2" ht="15">
      <c r="A21" s="319" t="s">
        <v>476</v>
      </c>
      <c r="B21" s="319" t="s">
        <v>630</v>
      </c>
    </row>
    <row r="22" spans="1:2" ht="15">
      <c r="A22" s="319" t="s">
        <v>477</v>
      </c>
      <c r="B22" s="319" t="s">
        <v>631</v>
      </c>
    </row>
    <row r="23" spans="1:2" ht="15">
      <c r="A23" s="319" t="s">
        <v>632</v>
      </c>
      <c r="B23" s="319" t="s">
        <v>633</v>
      </c>
    </row>
    <row r="24" spans="1:2" ht="15">
      <c r="A24" s="319" t="s">
        <v>478</v>
      </c>
      <c r="B24" s="319" t="s">
        <v>634</v>
      </c>
    </row>
    <row r="25" spans="1:2" ht="15">
      <c r="A25" s="319" t="s">
        <v>479</v>
      </c>
      <c r="B25" s="319" t="s">
        <v>635</v>
      </c>
    </row>
    <row r="26" spans="1:2" ht="15">
      <c r="A26" s="319" t="s">
        <v>480</v>
      </c>
      <c r="B26" s="319" t="s">
        <v>636</v>
      </c>
    </row>
    <row r="27" spans="1:2" ht="15">
      <c r="A27" s="319" t="s">
        <v>481</v>
      </c>
      <c r="B27" s="319" t="s">
        <v>637</v>
      </c>
    </row>
    <row r="28" spans="1:2" ht="15">
      <c r="A28" s="319" t="s">
        <v>482</v>
      </c>
      <c r="B28" s="319" t="s">
        <v>638</v>
      </c>
    </row>
    <row r="29" spans="1:2" ht="15">
      <c r="A29" s="319" t="s">
        <v>483</v>
      </c>
      <c r="B29" s="319" t="s">
        <v>639</v>
      </c>
    </row>
    <row r="30" spans="1:2" ht="15">
      <c r="A30" s="319" t="s">
        <v>484</v>
      </c>
      <c r="B30" s="319" t="s">
        <v>640</v>
      </c>
    </row>
    <row r="31" spans="1:2" ht="15">
      <c r="A31" s="319" t="s">
        <v>485</v>
      </c>
      <c r="B31" s="319" t="s">
        <v>641</v>
      </c>
    </row>
    <row r="32" spans="1:2" ht="15">
      <c r="A32" s="319" t="s">
        <v>642</v>
      </c>
      <c r="B32" s="319" t="s">
        <v>643</v>
      </c>
    </row>
    <row r="33" spans="1:2" ht="15">
      <c r="A33" s="319" t="s">
        <v>486</v>
      </c>
      <c r="B33" s="319" t="s">
        <v>644</v>
      </c>
    </row>
    <row r="34" spans="1:2" ht="15">
      <c r="A34" s="319" t="s">
        <v>645</v>
      </c>
      <c r="B34" s="319" t="s">
        <v>646</v>
      </c>
    </row>
    <row r="35" spans="1:2" ht="15">
      <c r="A35" s="319" t="s">
        <v>647</v>
      </c>
      <c r="B35" s="319" t="s">
        <v>648</v>
      </c>
    </row>
    <row r="36" spans="1:2" ht="15">
      <c r="A36" s="319" t="s">
        <v>487</v>
      </c>
      <c r="B36" s="319" t="s">
        <v>649</v>
      </c>
    </row>
    <row r="37" spans="1:2" ht="15">
      <c r="A37" s="319" t="s">
        <v>488</v>
      </c>
      <c r="B37" s="319" t="s">
        <v>650</v>
      </c>
    </row>
    <row r="38" spans="1:2" ht="15">
      <c r="A38" s="319" t="s">
        <v>489</v>
      </c>
      <c r="B38" s="319" t="s">
        <v>651</v>
      </c>
    </row>
    <row r="39" spans="1:2" ht="15">
      <c r="A39" s="319" t="s">
        <v>652</v>
      </c>
      <c r="B39" s="319" t="s">
        <v>653</v>
      </c>
    </row>
    <row r="40" spans="1:2" ht="15">
      <c r="A40" s="319" t="s">
        <v>490</v>
      </c>
      <c r="B40" s="319" t="s">
        <v>654</v>
      </c>
    </row>
    <row r="41" spans="1:2" ht="15">
      <c r="A41" s="319" t="s">
        <v>491</v>
      </c>
      <c r="B41" s="319" t="s">
        <v>655</v>
      </c>
    </row>
    <row r="42" spans="1:2" ht="15">
      <c r="A42" s="319" t="s">
        <v>492</v>
      </c>
      <c r="B42" s="319" t="s">
        <v>656</v>
      </c>
    </row>
    <row r="43" spans="1:2" ht="15">
      <c r="A43" s="319" t="s">
        <v>493</v>
      </c>
      <c r="B43" s="319" t="s">
        <v>657</v>
      </c>
    </row>
    <row r="44" spans="1:2" ht="15">
      <c r="A44" s="319" t="s">
        <v>494</v>
      </c>
      <c r="B44" s="319" t="s">
        <v>658</v>
      </c>
    </row>
    <row r="45" spans="1:2" ht="15">
      <c r="A45" s="319" t="s">
        <v>495</v>
      </c>
      <c r="B45" s="319" t="s">
        <v>659</v>
      </c>
    </row>
    <row r="46" spans="1:2" ht="15">
      <c r="A46" s="319" t="s">
        <v>496</v>
      </c>
      <c r="B46" s="319" t="s">
        <v>660</v>
      </c>
    </row>
    <row r="47" spans="1:2" ht="15">
      <c r="A47" s="319" t="s">
        <v>497</v>
      </c>
      <c r="B47" s="319" t="s">
        <v>661</v>
      </c>
    </row>
    <row r="48" spans="1:2" ht="15">
      <c r="A48" s="319" t="s">
        <v>498</v>
      </c>
      <c r="B48" s="319" t="s">
        <v>662</v>
      </c>
    </row>
    <row r="49" spans="1:2" ht="15">
      <c r="A49" s="319" t="s">
        <v>499</v>
      </c>
      <c r="B49" s="319" t="s">
        <v>663</v>
      </c>
    </row>
    <row r="50" spans="1:2" ht="15">
      <c r="A50" s="319" t="s">
        <v>500</v>
      </c>
      <c r="B50" s="319" t="s">
        <v>664</v>
      </c>
    </row>
    <row r="51" spans="1:2" ht="15">
      <c r="A51" s="319" t="s">
        <v>501</v>
      </c>
      <c r="B51" s="319" t="s">
        <v>665</v>
      </c>
    </row>
    <row r="52" spans="1:2" ht="15">
      <c r="A52" s="319" t="s">
        <v>503</v>
      </c>
      <c r="B52" s="319" t="s">
        <v>667</v>
      </c>
    </row>
    <row r="53" spans="1:2" ht="15">
      <c r="A53" s="319" t="s">
        <v>504</v>
      </c>
      <c r="B53" s="319" t="s">
        <v>668</v>
      </c>
    </row>
    <row r="54" spans="1:2" ht="15">
      <c r="A54" s="319" t="s">
        <v>505</v>
      </c>
      <c r="B54" s="319" t="s">
        <v>669</v>
      </c>
    </row>
    <row r="55" spans="1:2" ht="15">
      <c r="A55" s="319" t="s">
        <v>506</v>
      </c>
      <c r="B55" s="319" t="s">
        <v>670</v>
      </c>
    </row>
    <row r="56" spans="1:2" ht="15">
      <c r="A56" s="319" t="s">
        <v>507</v>
      </c>
      <c r="B56" s="319" t="s">
        <v>671</v>
      </c>
    </row>
    <row r="57" spans="1:2" ht="15">
      <c r="A57" s="319" t="s">
        <v>508</v>
      </c>
      <c r="B57" s="319" t="s">
        <v>672</v>
      </c>
    </row>
    <row r="58" spans="1:2" ht="15">
      <c r="A58" s="319" t="s">
        <v>509</v>
      </c>
      <c r="B58" s="319" t="s">
        <v>673</v>
      </c>
    </row>
    <row r="59" spans="1:2" ht="15">
      <c r="A59" s="319" t="s">
        <v>510</v>
      </c>
      <c r="B59" s="319" t="s">
        <v>674</v>
      </c>
    </row>
    <row r="60" spans="1:2" ht="15">
      <c r="A60" s="319" t="s">
        <v>511</v>
      </c>
      <c r="B60" s="319" t="s">
        <v>675</v>
      </c>
    </row>
    <row r="61" spans="1:2" ht="15">
      <c r="A61" s="319" t="s">
        <v>512</v>
      </c>
      <c r="B61" s="319" t="s">
        <v>676</v>
      </c>
    </row>
    <row r="62" spans="1:2" ht="15">
      <c r="A62" s="319" t="s">
        <v>513</v>
      </c>
      <c r="B62" s="319" t="s">
        <v>677</v>
      </c>
    </row>
    <row r="63" spans="1:2" ht="15">
      <c r="A63" s="319" t="s">
        <v>514</v>
      </c>
      <c r="B63" s="319" t="s">
        <v>678</v>
      </c>
    </row>
    <row r="64" spans="1:2" ht="15">
      <c r="A64" s="319" t="s">
        <v>515</v>
      </c>
      <c r="B64" s="319" t="s">
        <v>679</v>
      </c>
    </row>
    <row r="65" spans="1:2" ht="15">
      <c r="A65" s="319" t="s">
        <v>516</v>
      </c>
      <c r="B65" s="319" t="s">
        <v>680</v>
      </c>
    </row>
    <row r="66" spans="1:2" ht="15">
      <c r="A66" s="319" t="s">
        <v>517</v>
      </c>
      <c r="B66" s="319" t="s">
        <v>681</v>
      </c>
    </row>
    <row r="67" spans="1:2" ht="15">
      <c r="A67" s="319" t="s">
        <v>518</v>
      </c>
      <c r="B67" s="319" t="s">
        <v>682</v>
      </c>
    </row>
    <row r="68" spans="1:2" ht="15">
      <c r="A68" s="319" t="s">
        <v>519</v>
      </c>
      <c r="B68" s="319" t="s">
        <v>683</v>
      </c>
    </row>
    <row r="69" spans="1:2" ht="15">
      <c r="A69" s="319" t="s">
        <v>520</v>
      </c>
      <c r="B69" s="319" t="s">
        <v>684</v>
      </c>
    </row>
    <row r="70" spans="1:2" ht="15">
      <c r="A70" s="319" t="s">
        <v>521</v>
      </c>
      <c r="B70" s="319" t="s">
        <v>685</v>
      </c>
    </row>
    <row r="71" spans="1:2" ht="15">
      <c r="A71" s="319" t="s">
        <v>522</v>
      </c>
      <c r="B71" s="319" t="s">
        <v>686</v>
      </c>
    </row>
    <row r="72" spans="1:2" ht="15">
      <c r="A72" s="319" t="s">
        <v>523</v>
      </c>
      <c r="B72" s="319" t="s">
        <v>687</v>
      </c>
    </row>
    <row r="73" spans="1:2" ht="15">
      <c r="A73" s="319" t="s">
        <v>524</v>
      </c>
      <c r="B73" s="319" t="s">
        <v>688</v>
      </c>
    </row>
    <row r="74" spans="1:2" ht="15">
      <c r="A74" s="319" t="s">
        <v>525</v>
      </c>
      <c r="B74" s="319" t="s">
        <v>689</v>
      </c>
    </row>
    <row r="75" spans="1:2" ht="15">
      <c r="A75" s="319" t="s">
        <v>526</v>
      </c>
      <c r="B75" s="319" t="s">
        <v>690</v>
      </c>
    </row>
    <row r="76" spans="1:2" ht="15">
      <c r="A76" s="319" t="s">
        <v>527</v>
      </c>
      <c r="B76" s="319" t="s">
        <v>691</v>
      </c>
    </row>
    <row r="77" spans="1:2" ht="15">
      <c r="A77" s="319" t="s">
        <v>528</v>
      </c>
      <c r="B77" s="319" t="s">
        <v>692</v>
      </c>
    </row>
    <row r="78" spans="1:2" ht="15">
      <c r="A78" s="319" t="s">
        <v>529</v>
      </c>
      <c r="B78" s="319" t="s">
        <v>693</v>
      </c>
    </row>
    <row r="79" spans="1:2" ht="15">
      <c r="A79" s="319" t="s">
        <v>530</v>
      </c>
      <c r="B79" s="319" t="s">
        <v>694</v>
      </c>
    </row>
    <row r="80" spans="1:2" ht="15">
      <c r="A80" s="319" t="s">
        <v>531</v>
      </c>
      <c r="B80" s="319" t="s">
        <v>695</v>
      </c>
    </row>
    <row r="81" spans="1:2" ht="15">
      <c r="A81" s="319" t="s">
        <v>532</v>
      </c>
      <c r="B81" s="319" t="s">
        <v>696</v>
      </c>
    </row>
    <row r="82" spans="1:2" ht="15">
      <c r="A82" s="319" t="s">
        <v>533</v>
      </c>
      <c r="B82" s="319" t="s">
        <v>697</v>
      </c>
    </row>
    <row r="83" spans="1:2" ht="15">
      <c r="A83" s="319" t="s">
        <v>534</v>
      </c>
      <c r="B83" s="319" t="s">
        <v>698</v>
      </c>
    </row>
    <row r="84" spans="1:2" ht="15">
      <c r="A84" s="319" t="s">
        <v>535</v>
      </c>
      <c r="B84" s="319" t="s">
        <v>699</v>
      </c>
    </row>
    <row r="85" spans="1:2" ht="15">
      <c r="A85" s="319" t="s">
        <v>536</v>
      </c>
      <c r="B85" s="319" t="s">
        <v>700</v>
      </c>
    </row>
    <row r="86" spans="1:2" ht="15">
      <c r="A86" s="319" t="s">
        <v>537</v>
      </c>
      <c r="B86" s="319" t="s">
        <v>701</v>
      </c>
    </row>
    <row r="87" spans="1:2" ht="15">
      <c r="A87" s="319" t="s">
        <v>538</v>
      </c>
      <c r="B87" s="319" t="s">
        <v>702</v>
      </c>
    </row>
    <row r="88" spans="1:2" ht="15">
      <c r="A88" s="319" t="s">
        <v>539</v>
      </c>
      <c r="B88" s="319" t="s">
        <v>703</v>
      </c>
    </row>
    <row r="89" spans="1:2" ht="15">
      <c r="A89" s="319" t="s">
        <v>540</v>
      </c>
      <c r="B89" s="319" t="s">
        <v>704</v>
      </c>
    </row>
    <row r="90" spans="1:2" ht="15">
      <c r="A90" s="319" t="s">
        <v>541</v>
      </c>
      <c r="B90" s="319" t="s">
        <v>705</v>
      </c>
    </row>
    <row r="91" spans="1:2" ht="15">
      <c r="A91" s="319" t="s">
        <v>542</v>
      </c>
      <c r="B91" s="319" t="s">
        <v>706</v>
      </c>
    </row>
    <row r="92" spans="1:2" ht="15">
      <c r="A92" s="319" t="s">
        <v>543</v>
      </c>
      <c r="B92" s="319" t="s">
        <v>707</v>
      </c>
    </row>
    <row r="93" spans="1:2" ht="15">
      <c r="A93" s="319" t="s">
        <v>544</v>
      </c>
      <c r="B93" s="319" t="s">
        <v>708</v>
      </c>
    </row>
    <row r="94" spans="1:2" ht="15">
      <c r="A94" s="319" t="s">
        <v>545</v>
      </c>
      <c r="B94" s="319" t="s">
        <v>709</v>
      </c>
    </row>
    <row r="95" spans="1:2" ht="15">
      <c r="A95" s="319" t="s">
        <v>546</v>
      </c>
      <c r="B95" s="319" t="s">
        <v>710</v>
      </c>
    </row>
    <row r="96" spans="1:2" ht="15">
      <c r="A96" s="319" t="s">
        <v>547</v>
      </c>
      <c r="B96" s="319" t="s">
        <v>711</v>
      </c>
    </row>
    <row r="97" spans="1:2" ht="15">
      <c r="A97" s="319" t="s">
        <v>548</v>
      </c>
      <c r="B97" s="319" t="s">
        <v>712</v>
      </c>
    </row>
    <row r="98" spans="1:2" ht="15">
      <c r="A98" s="319" t="s">
        <v>549</v>
      </c>
      <c r="B98" s="319" t="s">
        <v>713</v>
      </c>
    </row>
    <row r="99" spans="1:2" ht="15">
      <c r="A99" s="319" t="s">
        <v>550</v>
      </c>
      <c r="B99" s="319" t="s">
        <v>714</v>
      </c>
    </row>
    <row r="100" spans="1:2" ht="15">
      <c r="A100" s="319" t="s">
        <v>551</v>
      </c>
      <c r="B100" s="319" t="s">
        <v>715</v>
      </c>
    </row>
    <row r="101" spans="1:2" ht="15">
      <c r="A101" s="319" t="s">
        <v>552</v>
      </c>
      <c r="B101" s="319" t="s">
        <v>716</v>
      </c>
    </row>
    <row r="102" spans="1:2" ht="15">
      <c r="A102" s="319" t="s">
        <v>553</v>
      </c>
      <c r="B102" s="319" t="s">
        <v>717</v>
      </c>
    </row>
    <row r="103" spans="1:2" ht="15">
      <c r="A103" s="319" t="s">
        <v>718</v>
      </c>
      <c r="B103" s="319" t="s">
        <v>719</v>
      </c>
    </row>
    <row r="104" spans="1:2" ht="15">
      <c r="A104" s="319" t="s">
        <v>554</v>
      </c>
      <c r="B104" s="319" t="s">
        <v>720</v>
      </c>
    </row>
    <row r="105" spans="1:2" ht="15">
      <c r="A105" s="319" t="s">
        <v>555</v>
      </c>
      <c r="B105" s="319" t="s">
        <v>721</v>
      </c>
    </row>
    <row r="106" spans="1:2" ht="15">
      <c r="A106" s="319" t="s">
        <v>556</v>
      </c>
      <c r="B106" s="319" t="s">
        <v>722</v>
      </c>
    </row>
    <row r="107" spans="1:2" ht="15">
      <c r="A107" s="319" t="s">
        <v>557</v>
      </c>
      <c r="B107" s="319" t="s">
        <v>723</v>
      </c>
    </row>
    <row r="108" spans="1:2" ht="15">
      <c r="A108" s="319" t="s">
        <v>558</v>
      </c>
      <c r="B108" s="319" t="s">
        <v>724</v>
      </c>
    </row>
    <row r="109" spans="1:2" ht="15">
      <c r="A109" s="319" t="s">
        <v>559</v>
      </c>
      <c r="B109" s="319" t="s">
        <v>725</v>
      </c>
    </row>
    <row r="110" spans="1:2" ht="15">
      <c r="A110" s="319" t="s">
        <v>560</v>
      </c>
      <c r="B110" s="319" t="s">
        <v>726</v>
      </c>
    </row>
    <row r="111" spans="1:2" ht="15">
      <c r="A111" s="319" t="s">
        <v>561</v>
      </c>
      <c r="B111" s="319" t="s">
        <v>562</v>
      </c>
    </row>
    <row r="112" spans="1:2" ht="15">
      <c r="A112" s="319" t="s">
        <v>563</v>
      </c>
      <c r="B112" s="319" t="s">
        <v>727</v>
      </c>
    </row>
    <row r="113" spans="1:2" ht="15">
      <c r="A113" s="319" t="s">
        <v>564</v>
      </c>
      <c r="B113" s="319" t="s">
        <v>728</v>
      </c>
    </row>
    <row r="114" spans="1:2" ht="15">
      <c r="A114" s="319" t="s">
        <v>565</v>
      </c>
      <c r="B114" s="319" t="s">
        <v>729</v>
      </c>
    </row>
    <row r="115" spans="1:2" ht="15">
      <c r="A115" s="319" t="s">
        <v>566</v>
      </c>
      <c r="B115" s="319" t="s">
        <v>730</v>
      </c>
    </row>
    <row r="116" spans="1:2" ht="15">
      <c r="A116" s="319" t="s">
        <v>567</v>
      </c>
      <c r="B116" s="319" t="s">
        <v>731</v>
      </c>
    </row>
    <row r="117" spans="1:2" ht="15">
      <c r="A117" s="319" t="s">
        <v>568</v>
      </c>
      <c r="B117" s="319" t="s">
        <v>732</v>
      </c>
    </row>
    <row r="118" spans="1:2" ht="15">
      <c r="A118" s="319" t="s">
        <v>569</v>
      </c>
      <c r="B118" s="319" t="s">
        <v>733</v>
      </c>
    </row>
    <row r="119" spans="1:2" ht="15">
      <c r="A119" s="319" t="s">
        <v>570</v>
      </c>
      <c r="B119" s="319" t="s">
        <v>735</v>
      </c>
    </row>
    <row r="120" spans="1:2" ht="15">
      <c r="A120" s="319" t="s">
        <v>571</v>
      </c>
      <c r="B120" s="319" t="s">
        <v>736</v>
      </c>
    </row>
    <row r="121" spans="1:2" ht="15">
      <c r="A121" s="319" t="s">
        <v>572</v>
      </c>
      <c r="B121" s="319" t="s">
        <v>737</v>
      </c>
    </row>
    <row r="122" spans="1:2" ht="15">
      <c r="A122" s="319" t="s">
        <v>573</v>
      </c>
      <c r="B122" s="319" t="s">
        <v>738</v>
      </c>
    </row>
    <row r="123" spans="1:2" ht="15">
      <c r="A123" s="319" t="s">
        <v>574</v>
      </c>
      <c r="B123" s="319" t="s">
        <v>739</v>
      </c>
    </row>
    <row r="124" spans="1:2" ht="15">
      <c r="A124" s="319" t="s">
        <v>575</v>
      </c>
      <c r="B124" s="319" t="s">
        <v>740</v>
      </c>
    </row>
    <row r="125" spans="1:2" ht="15">
      <c r="A125" s="319" t="s">
        <v>576</v>
      </c>
      <c r="B125" s="319" t="s">
        <v>741</v>
      </c>
    </row>
    <row r="126" spans="1:2" ht="15">
      <c r="A126" s="319" t="s">
        <v>577</v>
      </c>
      <c r="B126" s="319" t="s">
        <v>742</v>
      </c>
    </row>
    <row r="127" spans="1:2" ht="15">
      <c r="A127" s="319" t="s">
        <v>578</v>
      </c>
      <c r="B127" s="319" t="s">
        <v>743</v>
      </c>
    </row>
    <row r="128" spans="1:2" ht="15">
      <c r="A128" s="319" t="s">
        <v>579</v>
      </c>
      <c r="B128" s="319" t="s">
        <v>744</v>
      </c>
    </row>
    <row r="129" spans="1:2" ht="15">
      <c r="A129" s="319" t="s">
        <v>580</v>
      </c>
      <c r="B129" s="319" t="s">
        <v>745</v>
      </c>
    </row>
    <row r="130" spans="1:2" ht="15">
      <c r="A130" s="319" t="s">
        <v>581</v>
      </c>
      <c r="B130" s="319" t="s">
        <v>746</v>
      </c>
    </row>
    <row r="131" spans="1:2" ht="15">
      <c r="A131" s="319" t="s">
        <v>582</v>
      </c>
      <c r="B131" s="319" t="s">
        <v>747</v>
      </c>
    </row>
    <row r="132" spans="1:2" ht="15">
      <c r="A132" s="319" t="s">
        <v>583</v>
      </c>
      <c r="B132" s="319" t="s">
        <v>748</v>
      </c>
    </row>
    <row r="133" spans="1:2" ht="15">
      <c r="A133" s="319" t="s">
        <v>584</v>
      </c>
      <c r="B133" s="319" t="s">
        <v>749</v>
      </c>
    </row>
    <row r="134" spans="1:2" ht="15">
      <c r="A134" s="319" t="s">
        <v>750</v>
      </c>
      <c r="B134" s="319" t="s">
        <v>751</v>
      </c>
    </row>
    <row r="135" spans="1:2" ht="15">
      <c r="A135" s="319" t="s">
        <v>585</v>
      </c>
      <c r="B135" s="319" t="s">
        <v>752</v>
      </c>
    </row>
    <row r="136" spans="1:2" ht="15">
      <c r="A136" s="319" t="s">
        <v>586</v>
      </c>
      <c r="B136" s="319" t="s">
        <v>753</v>
      </c>
    </row>
    <row r="137" spans="1:2" ht="15">
      <c r="A137" s="319" t="s">
        <v>587</v>
      </c>
      <c r="B137" s="319" t="s">
        <v>754</v>
      </c>
    </row>
    <row r="138" spans="1:2" ht="15">
      <c r="A138" s="319" t="s">
        <v>588</v>
      </c>
      <c r="B138" s="319" t="s">
        <v>755</v>
      </c>
    </row>
    <row r="139" spans="1:2" ht="15">
      <c r="A139" s="319" t="s">
        <v>589</v>
      </c>
      <c r="B139" s="319" t="s">
        <v>756</v>
      </c>
    </row>
    <row r="140" spans="1:2" ht="15">
      <c r="A140" s="319" t="s">
        <v>590</v>
      </c>
      <c r="B140" s="319" t="s">
        <v>757</v>
      </c>
    </row>
    <row r="141" spans="1:2" ht="15">
      <c r="A141" s="319" t="s">
        <v>591</v>
      </c>
      <c r="B141" s="319" t="s">
        <v>758</v>
      </c>
    </row>
    <row r="142" spans="1:2" ht="15">
      <c r="A142" s="319" t="s">
        <v>592</v>
      </c>
      <c r="B142" s="319" t="s">
        <v>759</v>
      </c>
    </row>
    <row r="143" spans="1:2" ht="15">
      <c r="A143" s="319" t="s">
        <v>593</v>
      </c>
      <c r="B143" s="319" t="s">
        <v>760</v>
      </c>
    </row>
    <row r="144" spans="1:2" ht="15">
      <c r="A144" s="319" t="s">
        <v>594</v>
      </c>
      <c r="B144" s="319" t="s">
        <v>761</v>
      </c>
    </row>
    <row r="145" spans="1:2" ht="15">
      <c r="A145" s="319" t="s">
        <v>595</v>
      </c>
      <c r="B145" s="319" t="s">
        <v>762</v>
      </c>
    </row>
    <row r="146" spans="1:2" ht="15">
      <c r="A146" s="319" t="s">
        <v>596</v>
      </c>
      <c r="B146" s="319" t="s">
        <v>763</v>
      </c>
    </row>
    <row r="147" spans="1:2" ht="15">
      <c r="A147" s="319" t="s">
        <v>597</v>
      </c>
      <c r="B147" s="319" t="s">
        <v>764</v>
      </c>
    </row>
    <row r="148" spans="1:2" ht="15">
      <c r="A148" s="319" t="s">
        <v>598</v>
      </c>
      <c r="B148" s="319" t="s">
        <v>765</v>
      </c>
    </row>
    <row r="149" spans="1:2" ht="15">
      <c r="A149" s="319" t="s">
        <v>599</v>
      </c>
      <c r="B149" s="319" t="s">
        <v>766</v>
      </c>
    </row>
    <row r="150" spans="1:2" ht="15">
      <c r="A150" s="319" t="s">
        <v>767</v>
      </c>
      <c r="B150" s="319" t="s">
        <v>768</v>
      </c>
    </row>
    <row r="151" spans="1:2" ht="15">
      <c r="A151" s="319" t="s">
        <v>769</v>
      </c>
      <c r="B151" s="319" t="s">
        <v>770</v>
      </c>
    </row>
    <row r="152" spans="1:2" ht="15">
      <c r="A152" s="319" t="s">
        <v>601</v>
      </c>
      <c r="B152" s="319" t="s">
        <v>771</v>
      </c>
    </row>
    <row r="153" spans="1:2" ht="15">
      <c r="A153" s="319" t="s">
        <v>772</v>
      </c>
      <c r="B153" s="319" t="s">
        <v>773</v>
      </c>
    </row>
    <row r="154" spans="1:2" ht="15">
      <c r="A154" s="319" t="s">
        <v>602</v>
      </c>
      <c r="B154" s="319" t="s">
        <v>774</v>
      </c>
    </row>
    <row r="155" spans="1:2" ht="15">
      <c r="A155" s="319" t="s">
        <v>775</v>
      </c>
      <c r="B155" s="319" t="s">
        <v>776</v>
      </c>
    </row>
    <row r="156" spans="1:2" ht="15">
      <c r="A156" s="319" t="s">
        <v>603</v>
      </c>
      <c r="B156" s="319" t="s">
        <v>777</v>
      </c>
    </row>
    <row r="157" spans="1:2" ht="15">
      <c r="A157" s="319" t="s">
        <v>604</v>
      </c>
      <c r="B157" s="319" t="s">
        <v>778</v>
      </c>
    </row>
    <row r="158" spans="1:2" ht="15">
      <c r="A158" s="319" t="s">
        <v>605</v>
      </c>
      <c r="B158" s="319" t="s">
        <v>779</v>
      </c>
    </row>
    <row r="159" spans="1:2" ht="15">
      <c r="A159" s="319" t="s">
        <v>606</v>
      </c>
      <c r="B159" s="319" t="s">
        <v>780</v>
      </c>
    </row>
    <row r="160" spans="1:2" ht="15">
      <c r="A160" s="319" t="s">
        <v>781</v>
      </c>
      <c r="B160" s="319" t="s">
        <v>782</v>
      </c>
    </row>
    <row r="161" spans="1:2" ht="15">
      <c r="A161" s="319" t="s">
        <v>783</v>
      </c>
      <c r="B161" s="319" t="s">
        <v>784</v>
      </c>
    </row>
    <row r="162" spans="1:2" ht="15">
      <c r="A162" s="319" t="s">
        <v>785</v>
      </c>
      <c r="B162" s="319" t="s">
        <v>786</v>
      </c>
    </row>
    <row r="163" spans="1:2" ht="15">
      <c r="A163" s="319" t="s">
        <v>787</v>
      </c>
      <c r="B163" s="319" t="s">
        <v>788</v>
      </c>
    </row>
    <row r="164" spans="1:2" ht="15">
      <c r="A164" s="319" t="s">
        <v>789</v>
      </c>
      <c r="B164" s="319" t="s">
        <v>790</v>
      </c>
    </row>
    <row r="165" spans="1:2" ht="15">
      <c r="A165" s="319" t="s">
        <v>791</v>
      </c>
      <c r="B165" s="319" t="s">
        <v>792</v>
      </c>
    </row>
    <row r="166" spans="1:2" ht="15">
      <c r="A166" s="319" t="s">
        <v>607</v>
      </c>
      <c r="B166" s="319" t="s">
        <v>793</v>
      </c>
    </row>
    <row r="167" spans="1:2" ht="15">
      <c r="A167" s="319" t="s">
        <v>608</v>
      </c>
      <c r="B167" s="319" t="s">
        <v>794</v>
      </c>
    </row>
    <row r="168" spans="1:2" ht="15">
      <c r="A168" s="319" t="s">
        <v>609</v>
      </c>
      <c r="B168" s="319" t="s">
        <v>795</v>
      </c>
    </row>
    <row r="169" spans="1:2" ht="15">
      <c r="A169" s="319" t="s">
        <v>796</v>
      </c>
      <c r="B169" s="319" t="s">
        <v>797</v>
      </c>
    </row>
    <row r="170" spans="1:2" ht="15">
      <c r="A170" s="319" t="s">
        <v>610</v>
      </c>
      <c r="B170" s="319" t="s">
        <v>798</v>
      </c>
    </row>
    <row r="171" spans="1:2" ht="15">
      <c r="A171" s="319" t="s">
        <v>799</v>
      </c>
      <c r="B171" s="319" t="s">
        <v>800</v>
      </c>
    </row>
    <row r="172" spans="1:2" ht="15">
      <c r="A172" s="319" t="s">
        <v>801</v>
      </c>
      <c r="B172" s="319" t="s">
        <v>802</v>
      </c>
    </row>
    <row r="173" spans="1:2" ht="15">
      <c r="A173" s="319" t="s">
        <v>803</v>
      </c>
      <c r="B173" s="319" t="s">
        <v>804</v>
      </c>
    </row>
    <row r="174" spans="1:2" ht="15">
      <c r="A174" s="319" t="s">
        <v>805</v>
      </c>
      <c r="B174" s="319" t="s">
        <v>806</v>
      </c>
    </row>
    <row r="175" spans="1:2" ht="15">
      <c r="A175" s="319" t="s">
        <v>807</v>
      </c>
      <c r="B175" s="319" t="s">
        <v>808</v>
      </c>
    </row>
    <row r="176" spans="1:2" ht="15">
      <c r="A176" s="319" t="s">
        <v>611</v>
      </c>
      <c r="B176" s="319" t="s">
        <v>809</v>
      </c>
    </row>
    <row r="177" spans="1:2" ht="15">
      <c r="A177" s="319" t="s">
        <v>612</v>
      </c>
      <c r="B177" s="319" t="s">
        <v>810</v>
      </c>
    </row>
    <row r="178" spans="1:2" ht="15">
      <c r="A178" s="319" t="s">
        <v>613</v>
      </c>
      <c r="B178" s="319" t="s">
        <v>811</v>
      </c>
    </row>
    <row r="179" spans="1:2" ht="15">
      <c r="A179" s="319" t="s">
        <v>812</v>
      </c>
      <c r="B179" s="319" t="s">
        <v>813</v>
      </c>
    </row>
  </sheetData>
  <sheetProtection/>
  <hyperlinks>
    <hyperlink ref="C1" location="Indice!A1" display="Índice"/>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Hoja4"/>
  <dimension ref="A1:U41"/>
  <sheetViews>
    <sheetView showGridLines="0" zoomScale="90" zoomScaleNormal="90" zoomScalePageLayoutView="0" workbookViewId="0" topLeftCell="B11">
      <selection activeCell="T32" sqref="T32"/>
    </sheetView>
  </sheetViews>
  <sheetFormatPr defaultColWidth="11.421875" defaultRowHeight="15"/>
  <cols>
    <col min="1" max="1" width="40.7109375" style="2" customWidth="1"/>
    <col min="2" max="2" width="0.85546875" style="2" customWidth="1"/>
    <col min="3" max="3" width="19.57421875" style="86" customWidth="1"/>
    <col min="4" max="4" width="2.57421875" style="86" hidden="1" customWidth="1"/>
    <col min="5" max="5" width="0.9921875" style="112" customWidth="1"/>
    <col min="6" max="6" width="18.140625" style="86" customWidth="1"/>
    <col min="7" max="7" width="0.85546875" style="112" customWidth="1"/>
    <col min="8" max="8" width="18.8515625" style="86" customWidth="1"/>
    <col min="9" max="9" width="0.9921875" style="112" customWidth="1"/>
    <col min="10" max="10" width="20.00390625" style="86" customWidth="1"/>
    <col min="11" max="11" width="0.71875" style="112" customWidth="1"/>
    <col min="12" max="12" width="18.421875" style="86" customWidth="1"/>
    <col min="13" max="13" width="0.71875" style="112" customWidth="1"/>
    <col min="14" max="14" width="20.421875" style="86" customWidth="1"/>
    <col min="15" max="15" width="1.1484375" style="112" customWidth="1"/>
    <col min="16" max="16" width="19.7109375" style="86" customWidth="1"/>
    <col min="17" max="17" width="1.1484375" style="74" customWidth="1"/>
    <col min="18" max="18" width="17.421875" style="2" bestFit="1" customWidth="1"/>
    <col min="19" max="19" width="1.1484375" style="2" customWidth="1"/>
    <col min="20" max="20" width="16.421875" style="2" customWidth="1"/>
    <col min="21" max="16384" width="11.421875" style="2" customWidth="1"/>
  </cols>
  <sheetData>
    <row r="1" spans="1:8" ht="15">
      <c r="A1" s="2" t="str">
        <f>Indice!C1</f>
        <v>IMPORT CENTER S.A.</v>
      </c>
      <c r="H1" s="354" t="s">
        <v>365</v>
      </c>
    </row>
    <row r="2" ht="12.75">
      <c r="C2" s="86" t="str">
        <f>+Indice!C1</f>
        <v>IMPORT CENTER S.A.</v>
      </c>
    </row>
    <row r="3" spans="14:18" ht="15">
      <c r="N3" s="399"/>
      <c r="R3" s="73"/>
    </row>
    <row r="4" spans="2:18" ht="15">
      <c r="B4" s="399"/>
      <c r="C4" s="399"/>
      <c r="D4" s="399"/>
      <c r="E4" s="399"/>
      <c r="F4" s="399" t="s">
        <v>853</v>
      </c>
      <c r="G4" s="399"/>
      <c r="H4" s="399"/>
      <c r="I4" s="399"/>
      <c r="J4" s="399"/>
      <c r="K4" s="399"/>
      <c r="L4" s="399"/>
      <c r="M4" s="399"/>
      <c r="N4" s="399"/>
      <c r="O4" s="399"/>
      <c r="P4" s="399"/>
      <c r="R4" s="73"/>
    </row>
    <row r="5" spans="1:18" ht="15">
      <c r="A5" s="399"/>
      <c r="B5" s="399"/>
      <c r="C5" s="399"/>
      <c r="D5" s="399"/>
      <c r="E5" s="399"/>
      <c r="F5" s="399"/>
      <c r="G5" s="399"/>
      <c r="H5" s="399" t="str">
        <f>_xlfn.IFERROR(IF(Indice!B6="","Al dia... de mes… de año 2XX2…","Al "&amp;DAY(Indice!B6)&amp;" de "&amp;VLOOKUP(MONTH(Indice!B6),Indice!S:T,2,0)&amp;" de "&amp;YEAR(Indice!B6)),"Al dia... de mes… de año 2XX2…")</f>
        <v>Al 31 de Diciembre de 2021</v>
      </c>
      <c r="I5" s="399"/>
      <c r="J5" s="399"/>
      <c r="K5" s="399"/>
      <c r="L5" s="399"/>
      <c r="M5" s="399"/>
      <c r="N5" s="399"/>
      <c r="O5" s="399"/>
      <c r="P5" s="399"/>
      <c r="R5" s="73"/>
    </row>
    <row r="6" spans="1:18" ht="14.25">
      <c r="A6" s="682" t="s">
        <v>283</v>
      </c>
      <c r="B6" s="682"/>
      <c r="C6" s="682"/>
      <c r="D6" s="682"/>
      <c r="E6" s="682"/>
      <c r="F6" s="682"/>
      <c r="G6" s="682"/>
      <c r="H6" s="682"/>
      <c r="I6" s="682"/>
      <c r="J6" s="682"/>
      <c r="K6" s="682"/>
      <c r="L6" s="682"/>
      <c r="M6" s="682"/>
      <c r="N6" s="682"/>
      <c r="O6" s="682"/>
      <c r="P6" s="682"/>
      <c r="R6" s="73"/>
    </row>
    <row r="7" spans="1:18" ht="14.25">
      <c r="A7" s="682" t="s">
        <v>258</v>
      </c>
      <c r="B7" s="682"/>
      <c r="C7" s="682"/>
      <c r="D7" s="682"/>
      <c r="E7" s="682"/>
      <c r="F7" s="682"/>
      <c r="G7" s="682"/>
      <c r="H7" s="682"/>
      <c r="I7" s="682"/>
      <c r="J7" s="682"/>
      <c r="K7" s="682"/>
      <c r="L7" s="682"/>
      <c r="M7" s="682"/>
      <c r="N7" s="682"/>
      <c r="O7" s="682"/>
      <c r="P7" s="682"/>
      <c r="R7" s="73"/>
    </row>
    <row r="8" spans="1:18" ht="14.25">
      <c r="A8" s="257"/>
      <c r="B8" s="257"/>
      <c r="C8" s="257"/>
      <c r="D8" s="257"/>
      <c r="E8" s="257"/>
      <c r="F8" s="257"/>
      <c r="G8" s="257"/>
      <c r="H8" s="257"/>
      <c r="I8" s="257"/>
      <c r="J8" s="257"/>
      <c r="K8" s="257"/>
      <c r="L8" s="257"/>
      <c r="M8" s="257"/>
      <c r="N8" s="257"/>
      <c r="O8" s="257"/>
      <c r="P8" s="257"/>
      <c r="R8" s="73"/>
    </row>
    <row r="9" spans="1:18" ht="14.25">
      <c r="A9" s="257"/>
      <c r="B9" s="257"/>
      <c r="C9" s="257"/>
      <c r="D9" s="257"/>
      <c r="E9" s="257"/>
      <c r="F9" s="257"/>
      <c r="G9" s="257"/>
      <c r="H9" s="257"/>
      <c r="I9" s="257"/>
      <c r="J9" s="257"/>
      <c r="K9" s="257"/>
      <c r="L9" s="257"/>
      <c r="M9" s="257"/>
      <c r="N9" s="257"/>
      <c r="O9" s="257"/>
      <c r="P9" s="257"/>
      <c r="R9" s="73"/>
    </row>
    <row r="10" spans="1:18" ht="25.5" customHeight="1">
      <c r="A10" s="87"/>
      <c r="B10" s="100"/>
      <c r="C10" s="679" t="s">
        <v>266</v>
      </c>
      <c r="D10" s="679"/>
      <c r="E10" s="679"/>
      <c r="F10" s="679"/>
      <c r="G10" s="113"/>
      <c r="H10" s="87"/>
      <c r="I10" s="113"/>
      <c r="J10" s="87"/>
      <c r="K10" s="113"/>
      <c r="L10" s="679" t="s">
        <v>400</v>
      </c>
      <c r="M10" s="679"/>
      <c r="N10" s="679"/>
      <c r="O10" s="679"/>
      <c r="P10" s="679"/>
      <c r="R10" s="73"/>
    </row>
    <row r="11" spans="1:20" ht="15" customHeight="1">
      <c r="A11" s="683"/>
      <c r="C11" s="680" t="s">
        <v>78</v>
      </c>
      <c r="D11" s="88" t="s">
        <v>47</v>
      </c>
      <c r="E11" s="114"/>
      <c r="F11" s="680" t="s">
        <v>79</v>
      </c>
      <c r="G11" s="114"/>
      <c r="H11" s="680" t="s">
        <v>43</v>
      </c>
      <c r="I11" s="114"/>
      <c r="J11" s="680" t="s">
        <v>80</v>
      </c>
      <c r="K11" s="114"/>
      <c r="L11" s="680" t="s">
        <v>81</v>
      </c>
      <c r="M11" s="114"/>
      <c r="N11" s="680" t="s">
        <v>82</v>
      </c>
      <c r="O11" s="114"/>
      <c r="P11" s="680" t="s">
        <v>44</v>
      </c>
      <c r="R11" s="680" t="s">
        <v>83</v>
      </c>
      <c r="S11" s="114"/>
      <c r="T11" s="680" t="s">
        <v>3</v>
      </c>
    </row>
    <row r="12" spans="1:20" ht="15.75" customHeight="1">
      <c r="A12" s="683"/>
      <c r="C12" s="681"/>
      <c r="D12" s="88" t="s">
        <v>48</v>
      </c>
      <c r="E12" s="114"/>
      <c r="F12" s="681"/>
      <c r="G12" s="114"/>
      <c r="H12" s="681"/>
      <c r="I12" s="114"/>
      <c r="J12" s="681"/>
      <c r="K12" s="114"/>
      <c r="L12" s="681"/>
      <c r="M12" s="114"/>
      <c r="N12" s="681"/>
      <c r="O12" s="114"/>
      <c r="P12" s="681" t="s">
        <v>3</v>
      </c>
      <c r="R12" s="681"/>
      <c r="S12" s="114"/>
      <c r="T12" s="681"/>
    </row>
    <row r="13" ht="7.5" customHeight="1">
      <c r="R13" s="73"/>
    </row>
    <row r="14" spans="1:21" ht="12.75">
      <c r="A14" s="133" t="str">
        <f>_xlfn.IFERROR(IF(Indice!B6="","Saldo al .. de  de 20X0 ","Saldo al "&amp;DAY(Indice!B6)&amp;" de "&amp;VLOOKUP(MONTH(Indice!B6),Indice!S:T,2,0)&amp;" de "&amp;YEAR(Indice!B6-730)),"Saldo al .. de  de 20X0 ")</f>
        <v>Saldo al 31 de Diciembre de 2020</v>
      </c>
      <c r="B14" s="35"/>
      <c r="C14" s="134">
        <v>15000000</v>
      </c>
      <c r="F14" s="134">
        <v>0</v>
      </c>
      <c r="H14" s="134">
        <v>6300015</v>
      </c>
      <c r="J14" s="134"/>
      <c r="L14" s="134">
        <v>1417543</v>
      </c>
      <c r="N14" s="134">
        <v>0</v>
      </c>
      <c r="P14" s="134">
        <v>9376192</v>
      </c>
      <c r="R14" s="134"/>
      <c r="S14" s="74"/>
      <c r="T14" s="134">
        <f>+C14+H14+L14+P14</f>
        <v>32093750</v>
      </c>
      <c r="U14" s="74"/>
    </row>
    <row r="15" spans="1:21" ht="12.75">
      <c r="A15" s="2" t="s">
        <v>401</v>
      </c>
      <c r="R15" s="86"/>
      <c r="S15" s="74"/>
      <c r="T15" s="86"/>
      <c r="U15" s="74"/>
    </row>
    <row r="16" spans="1:21" ht="12.75">
      <c r="A16" s="133" t="s">
        <v>77</v>
      </c>
      <c r="C16" s="134"/>
      <c r="F16" s="134"/>
      <c r="H16" s="134"/>
      <c r="J16" s="134"/>
      <c r="L16" s="134"/>
      <c r="N16" s="134"/>
      <c r="P16" s="134"/>
      <c r="R16" s="134"/>
      <c r="S16" s="74"/>
      <c r="T16" s="134"/>
      <c r="U16" s="74"/>
    </row>
    <row r="17" spans="1:18" ht="25.5">
      <c r="A17" s="148" t="s">
        <v>264</v>
      </c>
      <c r="N17" s="77"/>
      <c r="R17" s="73"/>
    </row>
    <row r="18" spans="1:20" ht="12.75">
      <c r="A18" s="133" t="s">
        <v>84</v>
      </c>
      <c r="C18" s="134">
        <v>5000000</v>
      </c>
      <c r="F18" s="134"/>
      <c r="H18" s="134"/>
      <c r="J18" s="134"/>
      <c r="L18" s="134"/>
      <c r="N18" s="134"/>
      <c r="P18" s="134">
        <v>-5000000</v>
      </c>
      <c r="R18" s="134"/>
      <c r="S18" s="74"/>
      <c r="T18" s="134"/>
    </row>
    <row r="19" spans="1:18" ht="38.25">
      <c r="A19" s="148" t="s">
        <v>265</v>
      </c>
      <c r="L19" s="77"/>
      <c r="P19" s="77"/>
      <c r="Q19" s="78"/>
      <c r="R19" s="73"/>
    </row>
    <row r="20" spans="1:20" ht="12.75">
      <c r="A20" s="133" t="s">
        <v>85</v>
      </c>
      <c r="C20" s="134"/>
      <c r="F20" s="134"/>
      <c r="H20" s="134">
        <v>0</v>
      </c>
      <c r="J20" s="134"/>
      <c r="L20" s="134"/>
      <c r="N20" s="134"/>
      <c r="P20" s="134"/>
      <c r="R20" s="134"/>
      <c r="S20" s="74"/>
      <c r="T20" s="134">
        <v>0</v>
      </c>
    </row>
    <row r="21" spans="1:20" ht="12.75">
      <c r="A21" s="133" t="s">
        <v>86</v>
      </c>
      <c r="C21" s="134"/>
      <c r="F21" s="134"/>
      <c r="H21" s="134"/>
      <c r="J21" s="134"/>
      <c r="L21" s="134"/>
      <c r="N21" s="134"/>
      <c r="P21" s="134"/>
      <c r="R21" s="134"/>
      <c r="S21" s="74"/>
      <c r="T21" s="134">
        <v>0</v>
      </c>
    </row>
    <row r="22" spans="1:20" ht="12.75">
      <c r="A22" s="133" t="s">
        <v>87</v>
      </c>
      <c r="C22" s="134"/>
      <c r="F22" s="134"/>
      <c r="H22" s="134"/>
      <c r="J22" s="134"/>
      <c r="L22" s="134">
        <v>106971</v>
      </c>
      <c r="N22" s="134"/>
      <c r="P22" s="134">
        <v>2032449</v>
      </c>
      <c r="R22" s="134"/>
      <c r="S22" s="74"/>
      <c r="T22" s="134">
        <f>+L22+P22</f>
        <v>2139420</v>
      </c>
    </row>
    <row r="23" ht="12.75">
      <c r="R23" s="73"/>
    </row>
    <row r="24" spans="1:20" ht="13.5" thickBot="1">
      <c r="A24" s="133" t="str">
        <f>_xlfn.IFERROR(IF(Indice!B6="","Saldo al .. de  de 20X1 ","Saldo al "&amp;DAY(Indice!B6)&amp;" de "&amp;VLOOKUP(MONTH(Indice!B6),Indice!S:T,2,0)&amp;" de "&amp;YEAR(Indice!B6-365)),"Saldo al .. de  de 20X1 ")</f>
        <v>Saldo al 31 de Diciembre de 2020</v>
      </c>
      <c r="B24" s="35"/>
      <c r="C24" s="135">
        <f>+C14+C18</f>
        <v>20000000</v>
      </c>
      <c r="D24" s="75">
        <f>SUM(D14:D22)</f>
        <v>0</v>
      </c>
      <c r="E24" s="115"/>
      <c r="F24" s="135">
        <f>F16+F17+F18+F19+F20+F21+F22</f>
        <v>0</v>
      </c>
      <c r="G24" s="115">
        <f>SUM(G14:G23)</f>
        <v>0</v>
      </c>
      <c r="H24" s="135">
        <f>+H14+H20</f>
        <v>6300015</v>
      </c>
      <c r="I24" s="115"/>
      <c r="J24" s="135">
        <f>J16+J17+J18+J19+J20+J21+J22</f>
        <v>0</v>
      </c>
      <c r="K24" s="115"/>
      <c r="L24" s="135">
        <f>+L14+L22</f>
        <v>1524514</v>
      </c>
      <c r="M24" s="115"/>
      <c r="N24" s="135">
        <f>N16+N17+N18+N19+N20+N21+N22</f>
        <v>0</v>
      </c>
      <c r="O24" s="115"/>
      <c r="P24" s="135">
        <f>+P14+P18+P22</f>
        <v>6408641</v>
      </c>
      <c r="Q24" s="78"/>
      <c r="R24" s="135">
        <f>R16+R17+R18+R19+R20+R21+R22</f>
        <v>0</v>
      </c>
      <c r="S24" s="78"/>
      <c r="T24" s="135">
        <f>SUM(C24:R24)</f>
        <v>34233170</v>
      </c>
    </row>
    <row r="25" spans="1:20" ht="41.25" customHeight="1" thickTop="1">
      <c r="A25" s="148" t="s">
        <v>1011</v>
      </c>
      <c r="N25" s="77">
        <v>1882449</v>
      </c>
      <c r="P25" s="86">
        <f>-1882449-150000</f>
        <v>-2032449</v>
      </c>
      <c r="R25" s="79"/>
      <c r="S25" s="65"/>
      <c r="T25" s="605">
        <v>-150000</v>
      </c>
    </row>
    <row r="26" spans="1:20" ht="12.75">
      <c r="A26" s="133" t="s">
        <v>85</v>
      </c>
      <c r="B26" s="85"/>
      <c r="C26" s="134"/>
      <c r="F26" s="134"/>
      <c r="H26" s="134"/>
      <c r="J26" s="134"/>
      <c r="L26" s="134"/>
      <c r="N26" s="134">
        <v>0</v>
      </c>
      <c r="P26" s="134">
        <v>0</v>
      </c>
      <c r="R26" s="134"/>
      <c r="S26" s="74"/>
      <c r="T26" s="134"/>
    </row>
    <row r="27" spans="1:19" ht="12.75">
      <c r="A27" s="85" t="s">
        <v>88</v>
      </c>
      <c r="B27" s="85"/>
      <c r="L27" s="77"/>
      <c r="S27" s="86"/>
    </row>
    <row r="28" spans="1:20" ht="12.75">
      <c r="A28" s="133" t="s">
        <v>84</v>
      </c>
      <c r="C28" s="134"/>
      <c r="F28" s="134"/>
      <c r="H28" s="134"/>
      <c r="J28" s="134"/>
      <c r="L28" s="134"/>
      <c r="N28" s="134"/>
      <c r="P28" s="134"/>
      <c r="R28" s="134"/>
      <c r="S28" s="74"/>
      <c r="T28" s="134">
        <f>+C28+H28+L28+P28</f>
        <v>0</v>
      </c>
    </row>
    <row r="29" spans="1:20" ht="12.75">
      <c r="A29" s="592" t="s">
        <v>965</v>
      </c>
      <c r="B29" s="48"/>
      <c r="C29" s="593">
        <v>0</v>
      </c>
      <c r="D29" s="107"/>
      <c r="E29" s="594"/>
      <c r="F29" s="593"/>
      <c r="G29" s="594"/>
      <c r="H29" s="593"/>
      <c r="I29" s="594"/>
      <c r="J29" s="593"/>
      <c r="K29" s="594"/>
      <c r="L29" s="593"/>
      <c r="M29" s="594"/>
      <c r="N29" s="593"/>
      <c r="O29" s="594"/>
      <c r="P29" s="593">
        <v>0</v>
      </c>
      <c r="Q29" s="107"/>
      <c r="R29" s="593"/>
      <c r="S29" s="107"/>
      <c r="T29" s="593"/>
    </row>
    <row r="30" spans="1:20" ht="12.75">
      <c r="A30" s="133" t="s">
        <v>87</v>
      </c>
      <c r="C30" s="134"/>
      <c r="F30" s="134"/>
      <c r="H30" s="134"/>
      <c r="J30" s="134"/>
      <c r="L30" s="134">
        <v>170531</v>
      </c>
      <c r="N30" s="134">
        <v>0</v>
      </c>
      <c r="P30" s="134">
        <v>3240076</v>
      </c>
      <c r="R30" s="134"/>
      <c r="S30" s="74"/>
      <c r="T30" s="134">
        <f>+C30+H30+L30+P30+N30</f>
        <v>3410607</v>
      </c>
    </row>
    <row r="31" ht="12.75">
      <c r="R31" s="73"/>
    </row>
    <row r="32" spans="1:20" ht="13.5" thickBot="1">
      <c r="A32" s="133" t="str">
        <f>_xlfn.IFERROR(IF(Indice!B6="","Saldo al .. de  de 20X2 ","Saldo al "&amp;DAY(Indice!B6)&amp;" de "&amp;VLOOKUP(MONTH(Indice!B6),Indice!S:T,2,0)&amp;" de "&amp;YEAR(Indice!B6)),"Saldo al .. de  de 20X2 ")</f>
        <v>Saldo al 31 de Diciembre de 2021</v>
      </c>
      <c r="B32" s="35"/>
      <c r="C32" s="135">
        <f>+C24+C29</f>
        <v>20000000</v>
      </c>
      <c r="D32" s="75">
        <f>SUM(D24:D30)</f>
        <v>0</v>
      </c>
      <c r="E32" s="116"/>
      <c r="F32" s="135">
        <f>F24+F25+F26+F27+F30</f>
        <v>0</v>
      </c>
      <c r="G32" s="116"/>
      <c r="H32" s="135">
        <f>+H24</f>
        <v>6300015</v>
      </c>
      <c r="I32" s="116"/>
      <c r="J32" s="135">
        <f>J24+J25+J26+J27+J30</f>
        <v>0</v>
      </c>
      <c r="K32" s="116"/>
      <c r="L32" s="135">
        <f>+L14+L22+L30-1</f>
        <v>1695044</v>
      </c>
      <c r="M32" s="116"/>
      <c r="N32" s="135">
        <f>N24+N25+N26+N27+N30</f>
        <v>1882449</v>
      </c>
      <c r="O32" s="116"/>
      <c r="P32" s="135">
        <f>+P24+P25+P30</f>
        <v>7616268</v>
      </c>
      <c r="R32" s="135">
        <f>R24+R25+R26+R27+R30</f>
        <v>0</v>
      </c>
      <c r="S32" s="78"/>
      <c r="T32" s="135">
        <f>T24+T25+T26+T27+T30</f>
        <v>37493777</v>
      </c>
    </row>
    <row r="33" spans="1:18" ht="13.5" thickTop="1">
      <c r="A33" s="35"/>
      <c r="B33" s="35"/>
      <c r="C33" s="82"/>
      <c r="D33" s="81"/>
      <c r="E33" s="116"/>
      <c r="F33" s="82"/>
      <c r="G33" s="116"/>
      <c r="H33" s="82"/>
      <c r="I33" s="116"/>
      <c r="J33" s="82"/>
      <c r="K33" s="116"/>
      <c r="L33" s="82"/>
      <c r="M33" s="116"/>
      <c r="N33" s="82"/>
      <c r="O33" s="116"/>
      <c r="P33" s="82"/>
      <c r="R33" s="76"/>
    </row>
    <row r="34" spans="1:16" ht="12.75">
      <c r="A34" s="2" t="s">
        <v>389</v>
      </c>
      <c r="C34" s="78"/>
      <c r="D34" s="78"/>
      <c r="E34" s="117"/>
      <c r="F34" s="78"/>
      <c r="G34" s="117"/>
      <c r="H34" s="2"/>
      <c r="I34" s="45"/>
      <c r="K34" s="117"/>
      <c r="L34" s="78"/>
      <c r="M34" s="117"/>
      <c r="N34" s="78"/>
      <c r="O34" s="117"/>
      <c r="P34" s="78"/>
    </row>
    <row r="35" spans="3:16" ht="12.75">
      <c r="C35" s="78"/>
      <c r="D35" s="78"/>
      <c r="E35" s="117"/>
      <c r="F35" s="78"/>
      <c r="G35" s="117"/>
      <c r="H35" s="2"/>
      <c r="I35" s="45"/>
      <c r="K35" s="117"/>
      <c r="L35" s="78"/>
      <c r="M35" s="117"/>
      <c r="N35" s="78"/>
      <c r="O35" s="117"/>
      <c r="P35" s="78"/>
    </row>
    <row r="36" spans="3:16" ht="12.75">
      <c r="C36" s="78"/>
      <c r="D36" s="78"/>
      <c r="E36" s="117"/>
      <c r="F36" s="78"/>
      <c r="G36" s="117"/>
      <c r="H36" s="2"/>
      <c r="I36" s="45"/>
      <c r="K36" s="117"/>
      <c r="L36" s="78"/>
      <c r="M36" s="117"/>
      <c r="N36" s="78"/>
      <c r="O36" s="117"/>
      <c r="P36" s="78"/>
    </row>
    <row r="37" spans="3:16" ht="12.75">
      <c r="C37" s="78"/>
      <c r="D37" s="78"/>
      <c r="E37" s="117"/>
      <c r="F37" s="78"/>
      <c r="G37" s="117"/>
      <c r="H37" s="2"/>
      <c r="I37" s="45"/>
      <c r="K37" s="117"/>
      <c r="L37" s="78"/>
      <c r="M37" s="117"/>
      <c r="N37" s="78"/>
      <c r="O37" s="117"/>
      <c r="P37" s="78"/>
    </row>
    <row r="38" spans="3:16" ht="12.75">
      <c r="C38" s="78"/>
      <c r="D38" s="78"/>
      <c r="E38" s="117"/>
      <c r="F38" s="78"/>
      <c r="G38" s="117"/>
      <c r="H38" s="2"/>
      <c r="I38" s="45"/>
      <c r="K38" s="117"/>
      <c r="L38" s="78"/>
      <c r="M38" s="117"/>
      <c r="N38" s="78"/>
      <c r="O38" s="117"/>
      <c r="P38" s="78"/>
    </row>
    <row r="40" spans="3:16" ht="12.75">
      <c r="C40" s="78"/>
      <c r="D40" s="78"/>
      <c r="E40" s="117"/>
      <c r="F40" s="78"/>
      <c r="G40" s="117"/>
      <c r="H40" s="2"/>
      <c r="I40" s="45"/>
      <c r="K40" s="117"/>
      <c r="L40" s="78"/>
      <c r="M40" s="117"/>
      <c r="N40" s="78"/>
      <c r="O40" s="117"/>
      <c r="P40" s="78"/>
    </row>
    <row r="41" spans="6:10" ht="12.75">
      <c r="F41" s="78"/>
      <c r="H41" s="2"/>
      <c r="I41" s="45"/>
      <c r="J41" s="80"/>
    </row>
  </sheetData>
  <sheetProtection/>
  <mergeCells count="14">
    <mergeCell ref="L11:L12"/>
    <mergeCell ref="N11:N12"/>
    <mergeCell ref="P11:P12"/>
    <mergeCell ref="A11:A12"/>
    <mergeCell ref="C10:F10"/>
    <mergeCell ref="L10:P10"/>
    <mergeCell ref="R11:R12"/>
    <mergeCell ref="T11:T12"/>
    <mergeCell ref="A6:P6"/>
    <mergeCell ref="A7:P7"/>
    <mergeCell ref="C11:C12"/>
    <mergeCell ref="F11:F12"/>
    <mergeCell ref="H11:H12"/>
    <mergeCell ref="J11:J12"/>
  </mergeCells>
  <hyperlinks>
    <hyperlink ref="H1" location="Indice!A1" display="Indice"/>
  </hyperlinks>
  <printOptions/>
  <pageMargins left="0.7086614173228347" right="0.7086614173228347" top="0.7480314960629921" bottom="0.7480314960629921" header="0.31496062992125984" footer="0.31496062992125984"/>
  <pageSetup horizontalDpi="600" verticalDpi="600" orientation="landscape" paperSize="9" scale="65" r:id="rId1"/>
</worksheet>
</file>

<file path=xl/worksheets/sheet6.xml><?xml version="1.0" encoding="utf-8"?>
<worksheet xmlns="http://schemas.openxmlformats.org/spreadsheetml/2006/main" xmlns:r="http://schemas.openxmlformats.org/officeDocument/2006/relationships">
  <sheetPr codeName="Hoja5"/>
  <dimension ref="A1:I46"/>
  <sheetViews>
    <sheetView showGridLines="0" zoomScale="90" zoomScaleNormal="90" zoomScalePageLayoutView="0" workbookViewId="0" topLeftCell="A1">
      <selection activeCell="A49" sqref="A49"/>
    </sheetView>
  </sheetViews>
  <sheetFormatPr defaultColWidth="10.8515625" defaultRowHeight="15"/>
  <cols>
    <col min="1" max="1" width="78.00390625" style="38" customWidth="1"/>
    <col min="2" max="2" width="21.140625" style="96" customWidth="1"/>
    <col min="3" max="3" width="27.57421875" style="96" customWidth="1"/>
    <col min="4" max="4" width="2.421875" style="38" customWidth="1"/>
    <col min="5" max="5" width="5.421875" style="38" customWidth="1"/>
    <col min="6" max="6" width="2.28125" style="38" customWidth="1"/>
    <col min="7" max="7" width="4.421875" style="38" customWidth="1"/>
    <col min="8" max="8" width="21.421875" style="38" customWidth="1"/>
    <col min="9" max="9" width="16.421875" style="96" bestFit="1" customWidth="1"/>
    <col min="10" max="16384" width="10.8515625" style="38" customWidth="1"/>
  </cols>
  <sheetData>
    <row r="1" ht="14.25">
      <c r="A1" s="38" t="str">
        <f>Indice!C1</f>
        <v>IMPORT CENTER S.A.</v>
      </c>
    </row>
    <row r="2" spans="1:9" ht="14.25">
      <c r="A2" s="83"/>
      <c r="B2" s="84"/>
      <c r="C2" s="84"/>
      <c r="I2" s="38"/>
    </row>
    <row r="3" spans="1:9" ht="14.25" hidden="1">
      <c r="A3" s="684"/>
      <c r="B3" s="684"/>
      <c r="C3" s="684"/>
      <c r="I3" s="38"/>
    </row>
    <row r="4" spans="1:9" ht="14.25">
      <c r="A4" s="83"/>
      <c r="B4" s="84"/>
      <c r="C4" s="84"/>
      <c r="I4" s="38"/>
    </row>
    <row r="5" spans="1:3" s="2" customFormat="1" ht="15">
      <c r="A5" s="685" t="s">
        <v>854</v>
      </c>
      <c r="B5" s="685"/>
      <c r="C5" s="685"/>
    </row>
    <row r="6" spans="1:3" s="2" customFormat="1" ht="15">
      <c r="A6" s="685" t="str">
        <f>_xlfn.IFERROR(IF(Indice!B6="","Al dia... de mes… de año 2XX2…","Al "&amp;DAY(Indice!B6)&amp;" de "&amp;VLOOKUP(MONTH(Indice!B6),Indice!S:T,2,0)&amp;" de "&amp;YEAR(Indice!B6)),"Al dia... de mes… de año 2XX2…")</f>
        <v>Al 31 de Diciembre de 2021</v>
      </c>
      <c r="B6" s="685"/>
      <c r="C6" s="685"/>
    </row>
    <row r="7" spans="1:3" s="2" customFormat="1" ht="14.25">
      <c r="A7" s="686" t="s">
        <v>283</v>
      </c>
      <c r="B7" s="686"/>
      <c r="C7" s="686"/>
    </row>
    <row r="8" spans="1:3" s="2" customFormat="1" ht="14.25">
      <c r="A8" s="686" t="s">
        <v>258</v>
      </c>
      <c r="B8" s="686"/>
      <c r="C8" s="686"/>
    </row>
    <row r="9" spans="1:3" s="2" customFormat="1" ht="14.25">
      <c r="A9" s="109"/>
      <c r="B9" s="109"/>
      <c r="C9" s="109"/>
    </row>
    <row r="10" spans="1:3" s="2" customFormat="1" ht="14.25">
      <c r="A10" s="109"/>
      <c r="B10" s="109"/>
      <c r="C10" s="109"/>
    </row>
    <row r="11" spans="1:3" s="2" customFormat="1" ht="15">
      <c r="A11" s="136"/>
      <c r="B11" s="330">
        <f>_xlfn.IFERROR(IF(Indice!B6="","2XX2",YEAR(Indice!B6)),"2XX2")</f>
        <v>2021</v>
      </c>
      <c r="C11" s="330">
        <f>_xlfn.IFERROR(YEAR(Indice!B6-365),"2XX1")</f>
        <v>2020</v>
      </c>
    </row>
    <row r="12" spans="1:3" s="2" customFormat="1" ht="14.25">
      <c r="A12" s="38"/>
      <c r="B12" s="110"/>
      <c r="C12" s="110"/>
    </row>
    <row r="13" spans="1:9" s="2" customFormat="1" ht="15">
      <c r="A13" s="111" t="s">
        <v>260</v>
      </c>
      <c r="B13" s="96"/>
      <c r="C13" s="96"/>
      <c r="I13" s="86"/>
    </row>
    <row r="14" spans="1:9" s="2" customFormat="1" ht="14.25">
      <c r="A14" s="38" t="s">
        <v>402</v>
      </c>
      <c r="B14" s="149">
        <v>36093156</v>
      </c>
      <c r="C14" s="96">
        <v>28482642</v>
      </c>
      <c r="I14" s="86"/>
    </row>
    <row r="15" spans="1:9" s="2" customFormat="1" ht="14.25">
      <c r="A15" s="38" t="s">
        <v>49</v>
      </c>
      <c r="B15" s="150">
        <f>-34655674-3505744-934139-1899493</f>
        <v>-40995050</v>
      </c>
      <c r="C15" s="605">
        <v>-19992587</v>
      </c>
      <c r="F15" s="65"/>
      <c r="H15" s="66"/>
      <c r="I15" s="86"/>
    </row>
    <row r="16" spans="1:9" s="2" customFormat="1" ht="14.25">
      <c r="A16" s="38" t="s">
        <v>50</v>
      </c>
      <c r="B16" s="150">
        <v>2648358</v>
      </c>
      <c r="C16" s="605">
        <v>0</v>
      </c>
      <c r="F16" s="65"/>
      <c r="H16" s="66"/>
      <c r="I16" s="86"/>
    </row>
    <row r="17" spans="1:9" s="2" customFormat="1" ht="14.25">
      <c r="A17" s="38" t="s">
        <v>89</v>
      </c>
      <c r="B17" s="151"/>
      <c r="C17" s="606"/>
      <c r="F17" s="65"/>
      <c r="H17" s="66"/>
      <c r="I17" s="86"/>
    </row>
    <row r="18" spans="1:9" s="2" customFormat="1" ht="14.25">
      <c r="A18" s="38" t="s">
        <v>403</v>
      </c>
      <c r="B18" s="151">
        <v>0</v>
      </c>
      <c r="C18" s="606">
        <v>-660221</v>
      </c>
      <c r="F18" s="65"/>
      <c r="I18" s="86"/>
    </row>
    <row r="19" spans="1:9" s="2" customFormat="1" ht="14.25">
      <c r="A19" s="38" t="s">
        <v>259</v>
      </c>
      <c r="B19" s="151">
        <v>-648435</v>
      </c>
      <c r="C19" s="606">
        <v>-175750</v>
      </c>
      <c r="F19" s="65"/>
      <c r="I19" s="86"/>
    </row>
    <row r="20" spans="1:9" s="2" customFormat="1" ht="15">
      <c r="A20" s="460" t="s">
        <v>51</v>
      </c>
      <c r="B20" s="607">
        <f>SUM(B14:B19)</f>
        <v>-2901971</v>
      </c>
      <c r="C20" s="607">
        <f>SUM(C14:C19)</f>
        <v>7654084</v>
      </c>
      <c r="I20" s="86"/>
    </row>
    <row r="21" spans="1:9" s="2" customFormat="1" ht="14.25">
      <c r="A21" s="38"/>
      <c r="B21" s="608"/>
      <c r="C21" s="608"/>
      <c r="I21" s="86"/>
    </row>
    <row r="22" spans="1:9" s="2" customFormat="1" ht="15">
      <c r="A22" s="111" t="s">
        <v>261</v>
      </c>
      <c r="B22" s="608"/>
      <c r="C22" s="608"/>
      <c r="I22" s="86"/>
    </row>
    <row r="23" spans="1:9" s="2" customFormat="1" ht="14.25">
      <c r="A23" s="38" t="s">
        <v>404</v>
      </c>
      <c r="B23" s="608">
        <v>-115061</v>
      </c>
      <c r="C23" s="608">
        <v>-2359653</v>
      </c>
      <c r="F23" s="65"/>
      <c r="I23" s="86"/>
    </row>
    <row r="24" spans="1:9" s="2" customFormat="1" ht="14.25" hidden="1">
      <c r="A24" s="38" t="s">
        <v>52</v>
      </c>
      <c r="B24" s="608"/>
      <c r="C24" s="608"/>
      <c r="F24" s="65"/>
      <c r="I24" s="86"/>
    </row>
    <row r="25" spans="1:9" s="2" customFormat="1" ht="14.25" hidden="1">
      <c r="A25" s="38" t="s">
        <v>53</v>
      </c>
      <c r="B25" s="608">
        <v>0</v>
      </c>
      <c r="C25" s="608">
        <v>0</v>
      </c>
      <c r="I25" s="86"/>
    </row>
    <row r="26" spans="1:9" s="2" customFormat="1" ht="14.25">
      <c r="A26" s="38" t="s">
        <v>90</v>
      </c>
      <c r="B26" s="608"/>
      <c r="C26" s="608"/>
      <c r="I26" s="86"/>
    </row>
    <row r="27" spans="1:9" s="2" customFormat="1" ht="14.25">
      <c r="A27" s="38" t="s">
        <v>91</v>
      </c>
      <c r="B27" s="608"/>
      <c r="C27" s="608"/>
      <c r="I27" s="86"/>
    </row>
    <row r="28" spans="1:9" s="2" customFormat="1" ht="14.25">
      <c r="A28" s="38" t="s">
        <v>262</v>
      </c>
      <c r="B28" s="608"/>
      <c r="C28" s="608"/>
      <c r="I28" s="86"/>
    </row>
    <row r="29" spans="1:9" s="2" customFormat="1" ht="15">
      <c r="A29" s="460" t="s">
        <v>54</v>
      </c>
      <c r="B29" s="607">
        <f>SUM(B23:B28)</f>
        <v>-115061</v>
      </c>
      <c r="C29" s="607">
        <f>SUM(C23:C28)</f>
        <v>-2359653</v>
      </c>
      <c r="I29" s="86"/>
    </row>
    <row r="30" spans="1:9" s="2" customFormat="1" ht="14.25">
      <c r="A30" s="38"/>
      <c r="B30" s="608"/>
      <c r="C30" s="608"/>
      <c r="I30" s="86"/>
    </row>
    <row r="31" spans="1:9" s="2" customFormat="1" ht="15">
      <c r="A31" s="111" t="s">
        <v>263</v>
      </c>
      <c r="B31" s="608"/>
      <c r="C31" s="608"/>
      <c r="I31" s="86"/>
    </row>
    <row r="32" spans="1:9" s="2" customFormat="1" ht="14.25">
      <c r="A32" s="38" t="s">
        <v>405</v>
      </c>
      <c r="B32" s="608">
        <v>-3251556</v>
      </c>
      <c r="C32" s="608">
        <v>1328693</v>
      </c>
      <c r="I32" s="86"/>
    </row>
    <row r="33" spans="1:9" s="2" customFormat="1" ht="14.25">
      <c r="A33" s="38" t="s">
        <v>93</v>
      </c>
      <c r="B33" s="608"/>
      <c r="C33" s="608"/>
      <c r="I33" s="86"/>
    </row>
    <row r="34" spans="1:9" s="2" customFormat="1" ht="14.25">
      <c r="A34" s="38" t="s">
        <v>92</v>
      </c>
      <c r="B34" s="608">
        <v>-150000</v>
      </c>
      <c r="C34" s="608"/>
      <c r="I34" s="86"/>
    </row>
    <row r="35" spans="1:9" s="2" customFormat="1" ht="15">
      <c r="A35" s="460" t="s">
        <v>406</v>
      </c>
      <c r="B35" s="607">
        <f>B32+B33+B34</f>
        <v>-3401556</v>
      </c>
      <c r="C35" s="607">
        <f>C32+C33+C34</f>
        <v>1328693</v>
      </c>
      <c r="I35" s="86"/>
    </row>
    <row r="36" spans="1:9" s="48" customFormat="1" ht="15">
      <c r="A36" s="400"/>
      <c r="B36" s="609"/>
      <c r="C36" s="609"/>
      <c r="I36" s="94"/>
    </row>
    <row r="37" spans="1:9" s="2" customFormat="1" ht="14.25">
      <c r="A37" s="401" t="s">
        <v>94</v>
      </c>
      <c r="B37" s="608">
        <f>+B20+B29+B35</f>
        <v>-6418588</v>
      </c>
      <c r="C37" s="608">
        <f>+C20+C29+C35</f>
        <v>6623124</v>
      </c>
      <c r="I37" s="86"/>
    </row>
    <row r="38" spans="1:3" ht="14.25">
      <c r="A38" s="401" t="s">
        <v>95</v>
      </c>
      <c r="B38" s="608">
        <v>0</v>
      </c>
      <c r="C38" s="608">
        <v>0</v>
      </c>
    </row>
    <row r="39" spans="1:9" s="2" customFormat="1" ht="14.25">
      <c r="A39" s="401" t="s">
        <v>96</v>
      </c>
      <c r="B39" s="608">
        <v>7283345</v>
      </c>
      <c r="C39" s="608">
        <v>660221</v>
      </c>
      <c r="H39" s="86"/>
      <c r="I39" s="86"/>
    </row>
    <row r="40" spans="1:9" s="2" customFormat="1" ht="14.25">
      <c r="A40" s="38"/>
      <c r="B40" s="608"/>
      <c r="C40" s="608"/>
      <c r="H40" s="86"/>
      <c r="I40" s="86"/>
    </row>
    <row r="41" spans="1:9" s="2" customFormat="1" ht="18.75">
      <c r="A41" s="137" t="s">
        <v>55</v>
      </c>
      <c r="B41" s="610">
        <f>+SUM(B37:B39)</f>
        <v>864757</v>
      </c>
      <c r="C41" s="610">
        <f>+SUM(C37:C39)</f>
        <v>7283345</v>
      </c>
      <c r="I41" s="86"/>
    </row>
    <row r="42" spans="1:9" s="2" customFormat="1" ht="14.25">
      <c r="A42" s="38"/>
      <c r="B42" s="611" t="e">
        <v>#REF!</v>
      </c>
      <c r="C42" s="612"/>
      <c r="I42" s="86"/>
    </row>
    <row r="43" spans="1:3" ht="14.25">
      <c r="A43" s="38" t="s">
        <v>389</v>
      </c>
      <c r="B43" s="613"/>
      <c r="C43" s="613"/>
    </row>
    <row r="44" spans="2:3" ht="14.25">
      <c r="B44" s="78"/>
      <c r="C44" s="78"/>
    </row>
    <row r="45" spans="2:3" ht="14.25">
      <c r="B45" s="78"/>
      <c r="C45" s="78"/>
    </row>
    <row r="46" spans="2:3" ht="14.25">
      <c r="B46" s="78"/>
      <c r="C46" s="78"/>
    </row>
  </sheetData>
  <sheetProtection/>
  <mergeCells count="5">
    <mergeCell ref="A3:C3"/>
    <mergeCell ref="A5:C5"/>
    <mergeCell ref="A6:C6"/>
    <mergeCell ref="A7:C7"/>
    <mergeCell ref="A8:C8"/>
  </mergeCells>
  <printOptions/>
  <pageMargins left="0.7086614173228347" right="0.7086614173228347" top="0.7480314960629921" bottom="0.7480314960629921" header="0.31496062992125984" footer="0.31496062992125984"/>
  <pageSetup horizontalDpi="600" verticalDpi="600" orientation="portrait" paperSize="9" scale="68" r:id="rId1"/>
</worksheet>
</file>

<file path=xl/worksheets/sheet7.xml><?xml version="1.0" encoding="utf-8"?>
<worksheet xmlns="http://schemas.openxmlformats.org/spreadsheetml/2006/main" xmlns:r="http://schemas.openxmlformats.org/officeDocument/2006/relationships">
  <sheetPr codeName="Hoja6">
    <pageSetUpPr fitToPage="1"/>
  </sheetPr>
  <dimension ref="A1:L80"/>
  <sheetViews>
    <sheetView showGridLines="0" zoomScalePageLayoutView="0" workbookViewId="0" topLeftCell="A1">
      <selection activeCell="A7" sqref="A7"/>
    </sheetView>
  </sheetViews>
  <sheetFormatPr defaultColWidth="11.421875" defaultRowHeight="15"/>
  <cols>
    <col min="1" max="8" width="11.421875" style="38" customWidth="1"/>
    <col min="9" max="9" width="21.140625" style="38" customWidth="1"/>
    <col min="10" max="16384" width="11.421875" style="38" customWidth="1"/>
  </cols>
  <sheetData>
    <row r="1" spans="1:9" ht="15" customHeight="1">
      <c r="A1" s="480" t="str">
        <f>+Indice!C1</f>
        <v>IMPORT CENTER S.A.</v>
      </c>
      <c r="I1" s="176" t="s">
        <v>129</v>
      </c>
    </row>
    <row r="5" spans="1:9" ht="15" customHeight="1">
      <c r="A5" s="40"/>
      <c r="B5" s="40"/>
      <c r="C5" s="40"/>
      <c r="D5" s="40"/>
      <c r="E5" s="40"/>
      <c r="F5" s="40"/>
      <c r="G5" s="40"/>
      <c r="H5" s="40"/>
      <c r="I5" s="40"/>
    </row>
    <row r="6" spans="1:12" ht="15" customHeight="1">
      <c r="A6" s="369" t="s">
        <v>837</v>
      </c>
      <c r="B6" s="369"/>
      <c r="C6" s="369"/>
      <c r="D6" s="369"/>
      <c r="E6" s="369"/>
      <c r="F6" s="369"/>
      <c r="G6" s="369"/>
      <c r="H6" s="369" t="str">
        <f>_xlfn.IFERROR(IF(Indice!B6="","Al dia... de mes… de año 2XX2…","Al "&amp;DAY(Indice!B6)&amp;" de "&amp;VLOOKUP(MONTH(Indice!B6),Indice!S:T,2,0)&amp;" de "&amp;YEAR(Indice!B6)),"Al dia... de mes… de año 2XX2…")</f>
        <v>Al 31 de Diciembre de 2021</v>
      </c>
      <c r="I6" s="369"/>
      <c r="J6" s="3"/>
      <c r="K6" s="3"/>
      <c r="L6" s="3"/>
    </row>
    <row r="7" spans="1:12" ht="15" customHeight="1">
      <c r="A7" s="370" t="s">
        <v>838</v>
      </c>
      <c r="B7" s="370"/>
      <c r="C7" s="370"/>
      <c r="D7" s="370"/>
      <c r="E7" s="370"/>
      <c r="F7" s="370" t="str">
        <f>_xlfn.IFERROR("Al "&amp;DAY(Indice!B6)&amp;" de "&amp;VLOOKUP(MONTH(Indice!B6),Indice!S:T,2,0)&amp;" de "&amp;YEAR(Indice!B6-365),"Al dia... de mes… de año 2XX1…")</f>
        <v>Al 31 de Diciembre de 2020</v>
      </c>
      <c r="G7" s="370"/>
      <c r="H7" s="370"/>
      <c r="I7" s="370"/>
      <c r="J7" s="3"/>
      <c r="K7" s="3"/>
      <c r="L7" s="3"/>
    </row>
    <row r="8" spans="1:12" ht="15" customHeight="1">
      <c r="A8" s="693" t="s">
        <v>45</v>
      </c>
      <c r="B8" s="693"/>
      <c r="C8" s="693"/>
      <c r="D8" s="693"/>
      <c r="E8" s="693"/>
      <c r="F8" s="693"/>
      <c r="G8" s="693"/>
      <c r="H8" s="693"/>
      <c r="I8" s="693"/>
      <c r="J8" s="1"/>
      <c r="K8" s="1"/>
      <c r="L8" s="1"/>
    </row>
    <row r="9" spans="1:12" ht="15" customHeight="1">
      <c r="A9" s="37"/>
      <c r="B9" s="37"/>
      <c r="C9" s="37"/>
      <c r="D9" s="37"/>
      <c r="E9" s="37"/>
      <c r="F9" s="37"/>
      <c r="G9" s="37"/>
      <c r="H9" s="37"/>
      <c r="I9" s="37"/>
      <c r="J9" s="1"/>
      <c r="K9" s="1"/>
      <c r="L9" s="1"/>
    </row>
    <row r="10" spans="1:9" ht="15" customHeight="1">
      <c r="A10" s="40"/>
      <c r="B10" s="40"/>
      <c r="C10" s="40"/>
      <c r="D10" s="40"/>
      <c r="E10" s="40"/>
      <c r="F10" s="40"/>
      <c r="G10" s="40"/>
      <c r="H10" s="40"/>
      <c r="I10" s="40"/>
    </row>
    <row r="11" spans="1:12" ht="15" customHeight="1">
      <c r="A11" s="366" t="s">
        <v>0</v>
      </c>
      <c r="B11" s="367"/>
      <c r="C11" s="367"/>
      <c r="D11" s="367"/>
      <c r="E11" s="367"/>
      <c r="F11" s="367"/>
      <c r="G11" s="367"/>
      <c r="H11" s="367"/>
      <c r="I11" s="368"/>
      <c r="J11" s="694"/>
      <c r="K11" s="694"/>
      <c r="L11" s="694"/>
    </row>
    <row r="12" spans="1:9" ht="15" customHeight="1">
      <c r="A12" s="690"/>
      <c r="B12" s="691"/>
      <c r="C12" s="691"/>
      <c r="D12" s="691"/>
      <c r="E12" s="691"/>
      <c r="F12" s="691"/>
      <c r="G12" s="691"/>
      <c r="H12" s="691"/>
      <c r="I12" s="692"/>
    </row>
    <row r="13" spans="1:12" ht="15" customHeight="1">
      <c r="A13" s="39" t="s">
        <v>881</v>
      </c>
      <c r="B13" s="40"/>
      <c r="C13" s="40"/>
      <c r="D13" s="40"/>
      <c r="E13" s="40"/>
      <c r="F13" s="40"/>
      <c r="G13" s="40"/>
      <c r="H13" s="40"/>
      <c r="I13" s="41"/>
      <c r="J13" s="1"/>
      <c r="K13" s="1"/>
      <c r="L13" s="1"/>
    </row>
    <row r="14" spans="1:9" ht="15" customHeight="1">
      <c r="A14" s="39" t="s">
        <v>882</v>
      </c>
      <c r="B14" s="40"/>
      <c r="C14" s="40"/>
      <c r="D14" s="40"/>
      <c r="E14" s="40"/>
      <c r="F14" s="40"/>
      <c r="G14" s="40"/>
      <c r="H14" s="40"/>
      <c r="I14" s="41"/>
    </row>
    <row r="15" spans="1:9" ht="15" customHeight="1">
      <c r="A15" s="687" t="s">
        <v>889</v>
      </c>
      <c r="B15" s="688"/>
      <c r="C15" s="688"/>
      <c r="D15" s="688"/>
      <c r="E15" s="688"/>
      <c r="F15" s="688"/>
      <c r="G15" s="688"/>
      <c r="H15" s="688"/>
      <c r="I15" s="689"/>
    </row>
    <row r="16" spans="1:9" ht="15" customHeight="1">
      <c r="A16" s="687" t="s">
        <v>883</v>
      </c>
      <c r="B16" s="688"/>
      <c r="C16" s="688"/>
      <c r="D16" s="688"/>
      <c r="E16" s="688"/>
      <c r="F16" s="688"/>
      <c r="G16" s="688"/>
      <c r="H16" s="688"/>
      <c r="I16" s="689"/>
    </row>
    <row r="17" spans="1:9" ht="15" customHeight="1">
      <c r="A17" s="687" t="s">
        <v>887</v>
      </c>
      <c r="B17" s="688"/>
      <c r="C17" s="688"/>
      <c r="D17" s="688"/>
      <c r="E17" s="688"/>
      <c r="F17" s="688"/>
      <c r="G17" s="688"/>
      <c r="H17" s="688"/>
      <c r="I17" s="689"/>
    </row>
    <row r="18" spans="1:9" ht="15" customHeight="1">
      <c r="A18" s="687" t="s">
        <v>888</v>
      </c>
      <c r="B18" s="688"/>
      <c r="C18" s="688"/>
      <c r="D18" s="688"/>
      <c r="E18" s="688"/>
      <c r="F18" s="688"/>
      <c r="G18" s="688"/>
      <c r="H18" s="688"/>
      <c r="I18" s="689"/>
    </row>
    <row r="19" spans="1:9" ht="15" customHeight="1">
      <c r="A19" s="687" t="s">
        <v>890</v>
      </c>
      <c r="B19" s="688"/>
      <c r="C19" s="688"/>
      <c r="D19" s="688"/>
      <c r="E19" s="688"/>
      <c r="F19" s="688"/>
      <c r="G19" s="688"/>
      <c r="H19" s="688"/>
      <c r="I19" s="689"/>
    </row>
    <row r="20" spans="1:9" ht="15" customHeight="1">
      <c r="A20" s="687" t="s">
        <v>884</v>
      </c>
      <c r="B20" s="688"/>
      <c r="C20" s="688"/>
      <c r="D20" s="688"/>
      <c r="E20" s="688"/>
      <c r="F20" s="688"/>
      <c r="G20" s="688"/>
      <c r="H20" s="688"/>
      <c r="I20" s="689"/>
    </row>
    <row r="21" spans="1:9" ht="15" customHeight="1">
      <c r="A21" s="687"/>
      <c r="B21" s="688"/>
      <c r="C21" s="688"/>
      <c r="D21" s="688"/>
      <c r="E21" s="688"/>
      <c r="F21" s="688"/>
      <c r="G21" s="688"/>
      <c r="H21" s="688"/>
      <c r="I21" s="689"/>
    </row>
    <row r="22" spans="1:9" ht="15" customHeight="1">
      <c r="A22" s="687" t="s">
        <v>885</v>
      </c>
      <c r="B22" s="688"/>
      <c r="C22" s="688"/>
      <c r="D22" s="688"/>
      <c r="E22" s="688"/>
      <c r="F22" s="688"/>
      <c r="G22" s="688"/>
      <c r="H22" s="688"/>
      <c r="I22" s="689"/>
    </row>
    <row r="23" spans="1:9" ht="15" customHeight="1">
      <c r="A23" s="39" t="s">
        <v>891</v>
      </c>
      <c r="B23" s="40"/>
      <c r="C23" s="40"/>
      <c r="D23" s="40"/>
      <c r="E23" s="40"/>
      <c r="F23" s="40"/>
      <c r="G23" s="40"/>
      <c r="H23" s="40"/>
      <c r="I23" s="41"/>
    </row>
    <row r="24" spans="1:9" ht="15" customHeight="1">
      <c r="A24" s="39" t="s">
        <v>892</v>
      </c>
      <c r="B24" s="40"/>
      <c r="C24" s="40"/>
      <c r="D24" s="40"/>
      <c r="E24" s="40"/>
      <c r="F24" s="40"/>
      <c r="G24" s="40"/>
      <c r="H24" s="40"/>
      <c r="I24" s="41"/>
    </row>
    <row r="25" spans="1:9" ht="15" customHeight="1">
      <c r="A25" s="39" t="s">
        <v>893</v>
      </c>
      <c r="B25" s="40"/>
      <c r="C25" s="40"/>
      <c r="D25" s="40"/>
      <c r="E25" s="40"/>
      <c r="F25" s="40"/>
      <c r="G25" s="40"/>
      <c r="H25" s="40"/>
      <c r="I25" s="41"/>
    </row>
    <row r="26" spans="1:9" ht="15" customHeight="1">
      <c r="A26" s="39"/>
      <c r="B26" s="40"/>
      <c r="C26" s="40"/>
      <c r="D26" s="40"/>
      <c r="E26" s="40"/>
      <c r="F26" s="40"/>
      <c r="G26" s="40"/>
      <c r="H26" s="40"/>
      <c r="I26" s="41"/>
    </row>
    <row r="27" spans="1:9" ht="15" customHeight="1">
      <c r="A27" s="477" t="s">
        <v>894</v>
      </c>
      <c r="B27" s="478"/>
      <c r="C27" s="478"/>
      <c r="D27" s="478"/>
      <c r="E27" s="478"/>
      <c r="F27" s="478"/>
      <c r="G27" s="478"/>
      <c r="H27" s="478"/>
      <c r="I27" s="479"/>
    </row>
    <row r="28" spans="1:9" ht="15" customHeight="1">
      <c r="A28" s="477" t="s">
        <v>895</v>
      </c>
      <c r="B28" s="478"/>
      <c r="C28" s="478"/>
      <c r="D28" s="478"/>
      <c r="E28" s="478"/>
      <c r="F28" s="478"/>
      <c r="G28" s="478"/>
      <c r="H28" s="478"/>
      <c r="I28" s="479"/>
    </row>
    <row r="29" spans="1:9" ht="15" customHeight="1">
      <c r="A29" s="477" t="s">
        <v>896</v>
      </c>
      <c r="B29" s="478"/>
      <c r="C29" s="478"/>
      <c r="D29" s="478"/>
      <c r="E29" s="478"/>
      <c r="F29" s="478"/>
      <c r="G29" s="478"/>
      <c r="H29" s="478"/>
      <c r="I29" s="479"/>
    </row>
    <row r="30" spans="1:9" ht="15" customHeight="1">
      <c r="A30" s="477" t="s">
        <v>897</v>
      </c>
      <c r="B30" s="478"/>
      <c r="C30" s="478"/>
      <c r="D30" s="478"/>
      <c r="E30" s="478"/>
      <c r="F30" s="478"/>
      <c r="G30" s="478"/>
      <c r="H30" s="478"/>
      <c r="I30" s="479"/>
    </row>
    <row r="31" spans="1:9" ht="15" customHeight="1">
      <c r="A31" s="477" t="s">
        <v>898</v>
      </c>
      <c r="B31" s="478"/>
      <c r="C31" s="478"/>
      <c r="D31" s="478"/>
      <c r="E31" s="478"/>
      <c r="F31" s="478"/>
      <c r="G31" s="478"/>
      <c r="H31" s="478"/>
      <c r="I31" s="479"/>
    </row>
    <row r="32" spans="1:9" ht="15" customHeight="1">
      <c r="A32" s="477" t="s">
        <v>886</v>
      </c>
      <c r="B32" s="478"/>
      <c r="C32" s="478"/>
      <c r="D32" s="478"/>
      <c r="E32" s="478"/>
      <c r="F32" s="478"/>
      <c r="G32" s="478"/>
      <c r="H32" s="478"/>
      <c r="I32" s="479"/>
    </row>
    <row r="33" spans="1:9" ht="15" customHeight="1">
      <c r="A33" s="39"/>
      <c r="B33" s="40"/>
      <c r="C33" s="40"/>
      <c r="D33" s="40"/>
      <c r="E33" s="40"/>
      <c r="F33" s="40"/>
      <c r="G33" s="40"/>
      <c r="H33" s="40"/>
      <c r="I33" s="41"/>
    </row>
    <row r="34" spans="1:9" ht="15" customHeight="1">
      <c r="A34" s="39"/>
      <c r="B34" s="40"/>
      <c r="C34" s="40"/>
      <c r="D34" s="40"/>
      <c r="E34" s="40"/>
      <c r="F34" s="40"/>
      <c r="G34" s="40"/>
      <c r="H34" s="40"/>
      <c r="I34" s="41"/>
    </row>
    <row r="35" spans="1:9" ht="15" customHeight="1">
      <c r="A35" s="39"/>
      <c r="B35" s="40"/>
      <c r="C35" s="40"/>
      <c r="D35" s="40"/>
      <c r="E35" s="40"/>
      <c r="F35" s="40"/>
      <c r="G35" s="40"/>
      <c r="H35" s="40"/>
      <c r="I35" s="41"/>
    </row>
    <row r="36" spans="1:9" ht="15" customHeight="1">
      <c r="A36" s="39"/>
      <c r="B36" s="40"/>
      <c r="C36" s="40"/>
      <c r="D36" s="40"/>
      <c r="E36" s="40"/>
      <c r="F36" s="40"/>
      <c r="G36" s="40"/>
      <c r="H36" s="40"/>
      <c r="I36" s="41"/>
    </row>
    <row r="37" spans="1:9" ht="15" customHeight="1">
      <c r="A37" s="39"/>
      <c r="B37" s="40"/>
      <c r="C37" s="40"/>
      <c r="D37" s="40"/>
      <c r="E37" s="40"/>
      <c r="F37" s="40"/>
      <c r="G37" s="40"/>
      <c r="H37" s="40"/>
      <c r="I37" s="41"/>
    </row>
    <row r="38" spans="1:9" ht="15" customHeight="1">
      <c r="A38" s="39"/>
      <c r="B38" s="40"/>
      <c r="C38" s="40"/>
      <c r="D38" s="40"/>
      <c r="E38" s="40"/>
      <c r="F38" s="40"/>
      <c r="G38" s="40"/>
      <c r="H38" s="40"/>
      <c r="I38" s="41"/>
    </row>
    <row r="39" spans="1:9" ht="15" customHeight="1">
      <c r="A39" s="39"/>
      <c r="B39" s="40"/>
      <c r="C39" s="40"/>
      <c r="D39" s="40"/>
      <c r="E39" s="40"/>
      <c r="F39" s="40"/>
      <c r="G39" s="40"/>
      <c r="H39" s="40"/>
      <c r="I39" s="41"/>
    </row>
    <row r="40" spans="1:9" ht="15" customHeight="1">
      <c r="A40" s="39"/>
      <c r="B40" s="40"/>
      <c r="C40" s="40"/>
      <c r="D40" s="40"/>
      <c r="E40" s="40"/>
      <c r="F40" s="40"/>
      <c r="G40" s="40"/>
      <c r="H40" s="40"/>
      <c r="I40" s="41"/>
    </row>
    <row r="41" spans="1:9" ht="15" customHeight="1">
      <c r="A41" s="39"/>
      <c r="B41" s="40"/>
      <c r="C41" s="40"/>
      <c r="D41" s="40"/>
      <c r="E41" s="40"/>
      <c r="F41" s="40"/>
      <c r="G41" s="40"/>
      <c r="H41" s="40"/>
      <c r="I41" s="41"/>
    </row>
    <row r="42" spans="1:9" ht="15" customHeight="1">
      <c r="A42" s="39"/>
      <c r="B42" s="40"/>
      <c r="C42" s="40"/>
      <c r="D42" s="40"/>
      <c r="E42" s="40"/>
      <c r="F42" s="40"/>
      <c r="G42" s="40"/>
      <c r="H42" s="40"/>
      <c r="I42" s="41"/>
    </row>
    <row r="43" spans="1:9" ht="15" customHeight="1">
      <c r="A43" s="39"/>
      <c r="B43" s="40"/>
      <c r="C43" s="40"/>
      <c r="D43" s="40"/>
      <c r="E43" s="40"/>
      <c r="F43" s="40"/>
      <c r="G43" s="40"/>
      <c r="H43" s="40"/>
      <c r="I43" s="41"/>
    </row>
    <row r="44" spans="1:9" ht="15" customHeight="1">
      <c r="A44" s="39"/>
      <c r="B44" s="40"/>
      <c r="C44" s="40"/>
      <c r="D44" s="40"/>
      <c r="E44" s="40"/>
      <c r="F44" s="40"/>
      <c r="G44" s="40"/>
      <c r="H44" s="40"/>
      <c r="I44" s="41"/>
    </row>
    <row r="45" spans="1:9" ht="15" customHeight="1">
      <c r="A45" s="39"/>
      <c r="B45" s="40"/>
      <c r="C45" s="40"/>
      <c r="D45" s="40"/>
      <c r="E45" s="40"/>
      <c r="F45" s="40"/>
      <c r="G45" s="40"/>
      <c r="H45" s="40"/>
      <c r="I45" s="41"/>
    </row>
    <row r="46" spans="1:9" ht="15" customHeight="1">
      <c r="A46" s="39"/>
      <c r="B46" s="40"/>
      <c r="C46" s="40"/>
      <c r="D46" s="40"/>
      <c r="E46" s="40"/>
      <c r="F46" s="40"/>
      <c r="G46" s="40"/>
      <c r="H46" s="40"/>
      <c r="I46" s="41"/>
    </row>
    <row r="47" spans="1:9" ht="15" customHeight="1">
      <c r="A47" s="39"/>
      <c r="B47" s="40"/>
      <c r="C47" s="40"/>
      <c r="D47" s="40"/>
      <c r="E47" s="40"/>
      <c r="F47" s="40"/>
      <c r="G47" s="40"/>
      <c r="H47" s="40"/>
      <c r="I47" s="41"/>
    </row>
    <row r="48" spans="1:9" ht="15" customHeight="1">
      <c r="A48" s="39"/>
      <c r="B48" s="40"/>
      <c r="C48" s="40"/>
      <c r="D48" s="40"/>
      <c r="E48" s="40"/>
      <c r="F48" s="40"/>
      <c r="G48" s="40"/>
      <c r="H48" s="40"/>
      <c r="I48" s="41"/>
    </row>
    <row r="49" spans="1:9" ht="15" customHeight="1">
      <c r="A49" s="39"/>
      <c r="B49" s="40"/>
      <c r="C49" s="40"/>
      <c r="D49" s="40"/>
      <c r="E49" s="40"/>
      <c r="F49" s="40"/>
      <c r="G49" s="40"/>
      <c r="H49" s="40"/>
      <c r="I49" s="41"/>
    </row>
    <row r="50" spans="1:9" ht="15" customHeight="1">
      <c r="A50" s="39"/>
      <c r="B50" s="40"/>
      <c r="C50" s="40"/>
      <c r="D50" s="40"/>
      <c r="E50" s="40"/>
      <c r="F50" s="40"/>
      <c r="G50" s="40"/>
      <c r="H50" s="40"/>
      <c r="I50" s="41"/>
    </row>
    <row r="51" spans="1:9" ht="15" customHeight="1">
      <c r="A51" s="39"/>
      <c r="B51" s="40"/>
      <c r="C51" s="40"/>
      <c r="D51" s="40"/>
      <c r="E51" s="40"/>
      <c r="F51" s="40"/>
      <c r="G51" s="40"/>
      <c r="H51" s="40"/>
      <c r="I51" s="41"/>
    </row>
    <row r="52" spans="1:9" ht="15" customHeight="1">
      <c r="A52" s="39"/>
      <c r="B52" s="40"/>
      <c r="C52" s="40"/>
      <c r="D52" s="40"/>
      <c r="E52" s="40"/>
      <c r="F52" s="40"/>
      <c r="G52" s="40"/>
      <c r="H52" s="40"/>
      <c r="I52" s="41"/>
    </row>
    <row r="53" spans="1:9" ht="15" customHeight="1">
      <c r="A53" s="39"/>
      <c r="B53" s="40"/>
      <c r="C53" s="40"/>
      <c r="D53" s="40"/>
      <c r="E53" s="40"/>
      <c r="F53" s="40"/>
      <c r="G53" s="40"/>
      <c r="H53" s="40"/>
      <c r="I53" s="41"/>
    </row>
    <row r="54" spans="1:9" ht="15" customHeight="1">
      <c r="A54" s="39"/>
      <c r="B54" s="40"/>
      <c r="C54" s="40"/>
      <c r="D54" s="40"/>
      <c r="E54" s="40"/>
      <c r="F54" s="40"/>
      <c r="G54" s="40"/>
      <c r="H54" s="40"/>
      <c r="I54" s="41"/>
    </row>
    <row r="55" spans="1:9" ht="15" customHeight="1">
      <c r="A55" s="39"/>
      <c r="B55" s="40"/>
      <c r="C55" s="40"/>
      <c r="D55" s="40"/>
      <c r="E55" s="40"/>
      <c r="F55" s="40"/>
      <c r="G55" s="40"/>
      <c r="H55" s="40"/>
      <c r="I55" s="41"/>
    </row>
    <row r="56" spans="1:9" ht="15" customHeight="1">
      <c r="A56" s="39"/>
      <c r="B56" s="40"/>
      <c r="C56" s="40"/>
      <c r="D56" s="40"/>
      <c r="E56" s="40"/>
      <c r="F56" s="40"/>
      <c r="G56" s="40"/>
      <c r="H56" s="40"/>
      <c r="I56" s="41"/>
    </row>
    <row r="57" spans="1:9" ht="15" customHeight="1">
      <c r="A57" s="39"/>
      <c r="B57" s="40"/>
      <c r="C57" s="40"/>
      <c r="D57" s="40"/>
      <c r="E57" s="40"/>
      <c r="F57" s="40"/>
      <c r="G57" s="40"/>
      <c r="H57" s="40"/>
      <c r="I57" s="41"/>
    </row>
    <row r="58" spans="1:9" ht="15" customHeight="1">
      <c r="A58" s="39"/>
      <c r="B58" s="40"/>
      <c r="C58" s="40"/>
      <c r="D58" s="40"/>
      <c r="E58" s="40"/>
      <c r="F58" s="40"/>
      <c r="G58" s="40"/>
      <c r="H58" s="40"/>
      <c r="I58" s="41"/>
    </row>
    <row r="59" spans="1:9" ht="15" customHeight="1">
      <c r="A59" s="39"/>
      <c r="B59" s="40"/>
      <c r="C59" s="40"/>
      <c r="D59" s="40"/>
      <c r="E59" s="40"/>
      <c r="F59" s="40"/>
      <c r="G59" s="40"/>
      <c r="H59" s="40"/>
      <c r="I59" s="41"/>
    </row>
    <row r="60" spans="1:9" ht="15" customHeight="1">
      <c r="A60" s="39"/>
      <c r="B60" s="40"/>
      <c r="C60" s="40"/>
      <c r="D60" s="40"/>
      <c r="E60" s="40"/>
      <c r="F60" s="40"/>
      <c r="G60" s="40"/>
      <c r="H60" s="40"/>
      <c r="I60" s="41"/>
    </row>
    <row r="61" spans="1:9" ht="15" customHeight="1">
      <c r="A61" s="39"/>
      <c r="B61" s="40"/>
      <c r="C61" s="40"/>
      <c r="D61" s="40"/>
      <c r="E61" s="40"/>
      <c r="F61" s="40"/>
      <c r="G61" s="40"/>
      <c r="H61" s="40"/>
      <c r="I61" s="41"/>
    </row>
    <row r="62" spans="1:9" ht="15" customHeight="1">
      <c r="A62" s="39"/>
      <c r="B62" s="40"/>
      <c r="C62" s="40"/>
      <c r="D62" s="40"/>
      <c r="E62" s="40"/>
      <c r="F62" s="40"/>
      <c r="G62" s="40"/>
      <c r="H62" s="40"/>
      <c r="I62" s="41"/>
    </row>
    <row r="63" spans="1:9" ht="15" customHeight="1">
      <c r="A63" s="39"/>
      <c r="B63" s="40"/>
      <c r="C63" s="40"/>
      <c r="D63" s="40"/>
      <c r="E63" s="40"/>
      <c r="F63" s="40"/>
      <c r="G63" s="40"/>
      <c r="H63" s="40"/>
      <c r="I63" s="41"/>
    </row>
    <row r="64" spans="1:9" ht="15" customHeight="1">
      <c r="A64" s="39"/>
      <c r="B64" s="40"/>
      <c r="C64" s="40"/>
      <c r="D64" s="40"/>
      <c r="E64" s="40"/>
      <c r="F64" s="40"/>
      <c r="G64" s="40"/>
      <c r="H64" s="40"/>
      <c r="I64" s="41"/>
    </row>
    <row r="65" spans="1:9" ht="15" customHeight="1">
      <c r="A65" s="39"/>
      <c r="B65" s="40"/>
      <c r="C65" s="40"/>
      <c r="D65" s="40"/>
      <c r="E65" s="40"/>
      <c r="F65" s="40"/>
      <c r="G65" s="40"/>
      <c r="H65" s="40"/>
      <c r="I65" s="41"/>
    </row>
    <row r="66" spans="1:9" ht="15" customHeight="1">
      <c r="A66" s="39"/>
      <c r="B66" s="40"/>
      <c r="C66" s="40"/>
      <c r="D66" s="40"/>
      <c r="E66" s="40"/>
      <c r="F66" s="40"/>
      <c r="G66" s="40"/>
      <c r="H66" s="40"/>
      <c r="I66" s="41"/>
    </row>
    <row r="67" spans="1:9" ht="15" customHeight="1">
      <c r="A67" s="39"/>
      <c r="B67" s="40"/>
      <c r="C67" s="40"/>
      <c r="D67" s="40"/>
      <c r="E67" s="40"/>
      <c r="F67" s="40"/>
      <c r="G67" s="40"/>
      <c r="H67" s="40"/>
      <c r="I67" s="41"/>
    </row>
    <row r="68" spans="1:9" ht="15" customHeight="1">
      <c r="A68" s="39"/>
      <c r="B68" s="40"/>
      <c r="C68" s="40"/>
      <c r="D68" s="40"/>
      <c r="E68" s="40"/>
      <c r="F68" s="40"/>
      <c r="G68" s="40"/>
      <c r="H68" s="40"/>
      <c r="I68" s="41"/>
    </row>
    <row r="69" spans="1:9" ht="15" customHeight="1">
      <c r="A69" s="39"/>
      <c r="B69" s="40"/>
      <c r="C69" s="40"/>
      <c r="D69" s="40"/>
      <c r="E69" s="40"/>
      <c r="F69" s="40"/>
      <c r="G69" s="40"/>
      <c r="H69" s="40"/>
      <c r="I69" s="41"/>
    </row>
    <row r="70" spans="1:9" ht="15" customHeight="1">
      <c r="A70" s="39"/>
      <c r="B70" s="40"/>
      <c r="C70" s="40"/>
      <c r="D70" s="40"/>
      <c r="E70" s="40"/>
      <c r="F70" s="40"/>
      <c r="G70" s="40"/>
      <c r="H70" s="40"/>
      <c r="I70" s="41"/>
    </row>
    <row r="71" spans="1:9" ht="15" customHeight="1">
      <c r="A71" s="39"/>
      <c r="B71" s="40"/>
      <c r="C71" s="40"/>
      <c r="D71" s="40"/>
      <c r="E71" s="40"/>
      <c r="F71" s="40"/>
      <c r="G71" s="40"/>
      <c r="H71" s="40"/>
      <c r="I71" s="41"/>
    </row>
    <row r="72" spans="1:9" ht="15" customHeight="1">
      <c r="A72" s="39"/>
      <c r="B72" s="40"/>
      <c r="C72" s="40"/>
      <c r="D72" s="40"/>
      <c r="E72" s="40"/>
      <c r="F72" s="40"/>
      <c r="G72" s="40"/>
      <c r="H72" s="40"/>
      <c r="I72" s="41"/>
    </row>
    <row r="73" spans="1:9" ht="15" customHeight="1">
      <c r="A73" s="39"/>
      <c r="B73" s="40"/>
      <c r="C73" s="40"/>
      <c r="D73" s="40"/>
      <c r="E73" s="40"/>
      <c r="F73" s="40"/>
      <c r="G73" s="40"/>
      <c r="H73" s="40"/>
      <c r="I73" s="41"/>
    </row>
    <row r="74" spans="1:9" ht="15" customHeight="1">
      <c r="A74" s="39"/>
      <c r="B74" s="40"/>
      <c r="C74" s="40"/>
      <c r="D74" s="40"/>
      <c r="E74" s="40"/>
      <c r="F74" s="40"/>
      <c r="G74" s="40"/>
      <c r="H74" s="40"/>
      <c r="I74" s="41"/>
    </row>
    <row r="75" spans="1:9" ht="15" customHeight="1">
      <c r="A75" s="39"/>
      <c r="B75" s="40"/>
      <c r="C75" s="40"/>
      <c r="D75" s="40"/>
      <c r="E75" s="40"/>
      <c r="F75" s="40"/>
      <c r="G75" s="40"/>
      <c r="H75" s="40"/>
      <c r="I75" s="41"/>
    </row>
    <row r="76" spans="1:9" ht="15" customHeight="1">
      <c r="A76" s="39"/>
      <c r="B76" s="40"/>
      <c r="C76" s="40"/>
      <c r="D76" s="40"/>
      <c r="E76" s="40"/>
      <c r="F76" s="40"/>
      <c r="G76" s="40"/>
      <c r="H76" s="40"/>
      <c r="I76" s="41"/>
    </row>
    <row r="77" spans="1:9" ht="15" customHeight="1">
      <c r="A77" s="39"/>
      <c r="B77" s="40"/>
      <c r="C77" s="40"/>
      <c r="D77" s="40"/>
      <c r="E77" s="40"/>
      <c r="F77" s="40"/>
      <c r="G77" s="40"/>
      <c r="H77" s="40"/>
      <c r="I77" s="41"/>
    </row>
    <row r="78" spans="1:9" ht="15" customHeight="1">
      <c r="A78" s="39"/>
      <c r="B78" s="40"/>
      <c r="C78" s="40"/>
      <c r="D78" s="40"/>
      <c r="E78" s="40"/>
      <c r="F78" s="40"/>
      <c r="G78" s="40"/>
      <c r="H78" s="40"/>
      <c r="I78" s="41"/>
    </row>
    <row r="79" spans="1:9" ht="15" customHeight="1">
      <c r="A79" s="39"/>
      <c r="B79" s="40"/>
      <c r="C79" s="40"/>
      <c r="D79" s="40"/>
      <c r="E79" s="40"/>
      <c r="F79" s="40"/>
      <c r="G79" s="40"/>
      <c r="H79" s="40"/>
      <c r="I79" s="41"/>
    </row>
    <row r="80" spans="1:9" ht="15" customHeight="1">
      <c r="A80" s="42"/>
      <c r="B80" s="43"/>
      <c r="C80" s="43"/>
      <c r="D80" s="43"/>
      <c r="E80" s="43"/>
      <c r="F80" s="43"/>
      <c r="G80" s="43"/>
      <c r="H80" s="43"/>
      <c r="I80" s="44"/>
    </row>
  </sheetData>
  <sheetProtection/>
  <mergeCells count="11">
    <mergeCell ref="J11:L11"/>
    <mergeCell ref="A15:I15"/>
    <mergeCell ref="A18:I18"/>
    <mergeCell ref="A20:I20"/>
    <mergeCell ref="A22:I22"/>
    <mergeCell ref="A21:I21"/>
    <mergeCell ref="A12:I12"/>
    <mergeCell ref="A19:I19"/>
    <mergeCell ref="A8:I8"/>
    <mergeCell ref="A16:I16"/>
    <mergeCell ref="A17:I17"/>
  </mergeCells>
  <hyperlinks>
    <hyperlink ref="I1" location="BG!A1" display="BG"/>
  </hyperlinks>
  <printOptions/>
  <pageMargins left="0.7086614173228347" right="0.7086614173228347" top="0.7480314960629921" bottom="0.7480314960629921" header="0.31496062992125984" footer="0.31496062992125984"/>
  <pageSetup fitToHeight="1" fitToWidth="1" horizontalDpi="1200" verticalDpi="1200" orientation="portrait" paperSize="5" scale="62" r:id="rId1"/>
</worksheet>
</file>

<file path=xl/worksheets/sheet8.xml><?xml version="1.0" encoding="utf-8"?>
<worksheet xmlns="http://schemas.openxmlformats.org/spreadsheetml/2006/main" xmlns:r="http://schemas.openxmlformats.org/officeDocument/2006/relationships">
  <sheetPr codeName="Hoja7"/>
  <dimension ref="A1:N83"/>
  <sheetViews>
    <sheetView showGridLines="0" zoomScalePageLayoutView="0" workbookViewId="0" topLeftCell="A16">
      <selection activeCell="A33" sqref="A33:I33"/>
    </sheetView>
  </sheetViews>
  <sheetFormatPr defaultColWidth="11.421875" defaultRowHeight="15"/>
  <cols>
    <col min="1" max="1" width="31.421875" style="2" customWidth="1"/>
    <col min="2" max="2" width="14.8515625" style="2" customWidth="1"/>
    <col min="3" max="3" width="15.421875" style="2" customWidth="1"/>
    <col min="4" max="5" width="11.421875" style="2" customWidth="1"/>
    <col min="6" max="6" width="14.421875" style="2" customWidth="1"/>
    <col min="7" max="7" width="15.421875" style="2" customWidth="1"/>
    <col min="8" max="8" width="11.421875" style="2" customWidth="1"/>
    <col min="9" max="9" width="12.28125" style="2" customWidth="1"/>
    <col min="10" max="16384" width="11.421875" style="2" customWidth="1"/>
  </cols>
  <sheetData>
    <row r="1" spans="1:9" ht="15" customHeight="1">
      <c r="A1" s="480" t="s">
        <v>899</v>
      </c>
      <c r="I1" s="176" t="s">
        <v>129</v>
      </c>
    </row>
    <row r="2" ht="15" customHeight="1"/>
    <row r="3" ht="15" customHeight="1"/>
    <row r="4" ht="15" customHeight="1"/>
    <row r="5" ht="15" customHeight="1"/>
    <row r="6" spans="1:9" s="48" customFormat="1" ht="15" customHeight="1">
      <c r="A6" s="716" t="s">
        <v>1</v>
      </c>
      <c r="B6" s="717"/>
      <c r="C6" s="717"/>
      <c r="D6" s="717"/>
      <c r="E6" s="717"/>
      <c r="F6" s="717"/>
      <c r="G6" s="717"/>
      <c r="H6" s="717"/>
      <c r="I6" s="718"/>
    </row>
    <row r="7" spans="1:11" s="48" customFormat="1" ht="26.25" customHeight="1">
      <c r="A7" s="725"/>
      <c r="B7" s="726"/>
      <c r="C7" s="726"/>
      <c r="D7" s="726"/>
      <c r="E7" s="726"/>
      <c r="F7" s="726"/>
      <c r="G7" s="726"/>
      <c r="H7" s="726"/>
      <c r="I7" s="727"/>
      <c r="J7" s="71"/>
      <c r="K7" s="71"/>
    </row>
    <row r="8" spans="1:9" s="48" customFormat="1" ht="15" customHeight="1">
      <c r="A8" s="118"/>
      <c r="B8" s="68"/>
      <c r="C8" s="68"/>
      <c r="D8" s="68"/>
      <c r="E8" s="68"/>
      <c r="F8" s="68"/>
      <c r="G8" s="68"/>
      <c r="H8" s="68"/>
      <c r="I8" s="119"/>
    </row>
    <row r="9" spans="1:9" s="48" customFormat="1" ht="15" customHeight="1">
      <c r="A9" s="118"/>
      <c r="B9" s="68"/>
      <c r="C9" s="68"/>
      <c r="D9" s="68"/>
      <c r="E9" s="68"/>
      <c r="F9" s="68"/>
      <c r="G9" s="68"/>
      <c r="H9" s="68"/>
      <c r="I9" s="119"/>
    </row>
    <row r="10" spans="1:11" s="48" customFormat="1" ht="15" customHeight="1">
      <c r="A10" s="710" t="s">
        <v>202</v>
      </c>
      <c r="B10" s="711"/>
      <c r="C10" s="711"/>
      <c r="D10" s="711"/>
      <c r="E10" s="711"/>
      <c r="F10" s="711"/>
      <c r="G10" s="711"/>
      <c r="H10" s="711"/>
      <c r="I10" s="712"/>
      <c r="J10" s="71"/>
      <c r="K10" s="71"/>
    </row>
    <row r="11" spans="1:9" s="72" customFormat="1" ht="50.25" customHeight="1">
      <c r="A11" s="701" t="s">
        <v>977</v>
      </c>
      <c r="B11" s="702"/>
      <c r="C11" s="702"/>
      <c r="D11" s="702"/>
      <c r="E11" s="702"/>
      <c r="F11" s="702"/>
      <c r="G11" s="702"/>
      <c r="H11" s="702"/>
      <c r="I11" s="703"/>
    </row>
    <row r="12" spans="1:9" s="48" customFormat="1" ht="15" customHeight="1">
      <c r="A12" s="707"/>
      <c r="B12" s="708"/>
      <c r="C12" s="708"/>
      <c r="D12" s="708"/>
      <c r="E12" s="708"/>
      <c r="F12" s="708"/>
      <c r="G12" s="708"/>
      <c r="H12" s="708"/>
      <c r="I12" s="709"/>
    </row>
    <row r="13" spans="1:11" s="48" customFormat="1" ht="15" customHeight="1">
      <c r="A13" s="704" t="s">
        <v>103</v>
      </c>
      <c r="B13" s="705"/>
      <c r="C13" s="705"/>
      <c r="D13" s="705"/>
      <c r="E13" s="705"/>
      <c r="F13" s="705"/>
      <c r="G13" s="705"/>
      <c r="H13" s="705"/>
      <c r="I13" s="706"/>
      <c r="J13" s="71"/>
      <c r="K13" s="71"/>
    </row>
    <row r="14" spans="1:9" s="48" customFormat="1" ht="42.75" customHeight="1">
      <c r="A14" s="722" t="s">
        <v>161</v>
      </c>
      <c r="B14" s="723"/>
      <c r="C14" s="723"/>
      <c r="D14" s="723"/>
      <c r="E14" s="723"/>
      <c r="F14" s="723"/>
      <c r="G14" s="723"/>
      <c r="H14" s="723"/>
      <c r="I14" s="724"/>
    </row>
    <row r="15" spans="1:9" s="48" customFormat="1" ht="15" customHeight="1">
      <c r="A15" s="707"/>
      <c r="B15" s="708"/>
      <c r="C15" s="708"/>
      <c r="D15" s="708"/>
      <c r="E15" s="708"/>
      <c r="F15" s="708"/>
      <c r="G15" s="708"/>
      <c r="H15" s="708"/>
      <c r="I15" s="709"/>
    </row>
    <row r="16" spans="1:11" s="48" customFormat="1" ht="15" customHeight="1">
      <c r="A16" s="704" t="s">
        <v>104</v>
      </c>
      <c r="B16" s="705"/>
      <c r="C16" s="705"/>
      <c r="D16" s="705"/>
      <c r="E16" s="705"/>
      <c r="F16" s="705"/>
      <c r="G16" s="705"/>
      <c r="H16" s="705"/>
      <c r="I16" s="706"/>
      <c r="J16" s="71"/>
      <c r="K16" s="71"/>
    </row>
    <row r="17" spans="1:9" s="48" customFormat="1" ht="15" customHeight="1">
      <c r="A17" s="695" t="s">
        <v>978</v>
      </c>
      <c r="B17" s="696"/>
      <c r="C17" s="696"/>
      <c r="D17" s="696"/>
      <c r="E17" s="696"/>
      <c r="F17" s="696"/>
      <c r="G17" s="696"/>
      <c r="H17" s="696"/>
      <c r="I17" s="697"/>
    </row>
    <row r="18" spans="1:9" s="48" customFormat="1" ht="28.5" customHeight="1">
      <c r="A18" s="701" t="s">
        <v>162</v>
      </c>
      <c r="B18" s="702"/>
      <c r="C18" s="702"/>
      <c r="D18" s="702"/>
      <c r="E18" s="702"/>
      <c r="F18" s="702"/>
      <c r="G18" s="702"/>
      <c r="H18" s="702"/>
      <c r="I18" s="703"/>
    </row>
    <row r="19" spans="1:9" s="48" customFormat="1" ht="15" customHeight="1">
      <c r="A19" s="289"/>
      <c r="B19" s="290"/>
      <c r="C19" s="290"/>
      <c r="D19" s="290"/>
      <c r="E19" s="290"/>
      <c r="F19" s="290"/>
      <c r="G19" s="290"/>
      <c r="H19" s="290"/>
      <c r="I19" s="291"/>
    </row>
    <row r="20" spans="1:9" s="48" customFormat="1" ht="15" customHeight="1">
      <c r="A20" s="208"/>
      <c r="B20" s="207"/>
      <c r="C20" s="68"/>
      <c r="D20" s="68"/>
      <c r="E20" s="68"/>
      <c r="F20" s="68"/>
      <c r="G20" s="207"/>
      <c r="H20" s="68"/>
      <c r="I20" s="119"/>
    </row>
    <row r="21" spans="1:11" s="48" customFormat="1" ht="15" customHeight="1">
      <c r="A21" s="208"/>
      <c r="B21" s="424"/>
      <c r="C21" s="424">
        <f>_xlfn.IFERROR(IF(Indice!B6="","2XX2",YEAR(Indice!B6)),"2XX2")</f>
        <v>2021</v>
      </c>
      <c r="D21" s="424"/>
      <c r="E21" s="297"/>
      <c r="F21" s="424"/>
      <c r="G21" s="424">
        <f>_xlfn.IFERROR(YEAR(Indice!B6-365),"2XX1")</f>
        <v>2020</v>
      </c>
      <c r="H21" s="424"/>
      <c r="I21" s="299"/>
      <c r="J21" s="297"/>
      <c r="K21" s="154"/>
    </row>
    <row r="22" spans="1:9" s="48" customFormat="1" ht="15" customHeight="1">
      <c r="A22" s="208"/>
      <c r="B22" s="158" t="s">
        <v>106</v>
      </c>
      <c r="C22" s="230" t="s">
        <v>165</v>
      </c>
      <c r="D22" s="230" t="s">
        <v>166</v>
      </c>
      <c r="E22" s="68"/>
      <c r="F22" s="158" t="s">
        <v>106</v>
      </c>
      <c r="G22" s="230" t="s">
        <v>165</v>
      </c>
      <c r="H22" s="230" t="s">
        <v>166</v>
      </c>
      <c r="I22" s="119"/>
    </row>
    <row r="23" spans="1:11" s="48" customFormat="1" ht="15" customHeight="1">
      <c r="A23" s="623" t="s">
        <v>105</v>
      </c>
      <c r="B23" s="207" t="s">
        <v>974</v>
      </c>
      <c r="C23" s="535" t="s">
        <v>975</v>
      </c>
      <c r="D23" s="614">
        <f>166266+687+77080+6209+892827+7622175</f>
        <v>8765244</v>
      </c>
      <c r="E23" s="207"/>
      <c r="F23" s="207" t="s">
        <v>974</v>
      </c>
      <c r="G23" s="535" t="s">
        <v>975</v>
      </c>
      <c r="H23" s="614">
        <v>10209403</v>
      </c>
      <c r="I23" s="209"/>
      <c r="J23" s="154"/>
      <c r="K23" s="164"/>
    </row>
    <row r="24" spans="1:11" s="48" customFormat="1" ht="15" customHeight="1">
      <c r="A24" s="623"/>
      <c r="B24" s="207"/>
      <c r="C24" s="207"/>
      <c r="D24" s="614"/>
      <c r="E24" s="207"/>
      <c r="F24" s="207"/>
      <c r="G24" s="535"/>
      <c r="H24" s="614"/>
      <c r="I24" s="209"/>
      <c r="J24" s="154"/>
      <c r="K24" s="164"/>
    </row>
    <row r="25" spans="1:11" s="48" customFormat="1" ht="15" customHeight="1">
      <c r="A25" s="623" t="s">
        <v>107</v>
      </c>
      <c r="B25" s="207" t="s">
        <v>974</v>
      </c>
      <c r="C25" s="535" t="s">
        <v>975</v>
      </c>
      <c r="D25" s="614">
        <f>1409789+872164+64191</f>
        <v>2346144</v>
      </c>
      <c r="E25" s="207"/>
      <c r="F25" s="207" t="s">
        <v>974</v>
      </c>
      <c r="G25" s="535" t="s">
        <v>975</v>
      </c>
      <c r="H25" s="614">
        <v>356920</v>
      </c>
      <c r="I25" s="209"/>
      <c r="J25" s="154"/>
      <c r="K25" s="164"/>
    </row>
    <row r="26" spans="1:9" s="48" customFormat="1" ht="15" customHeight="1">
      <c r="A26" s="623"/>
      <c r="B26" s="157"/>
      <c r="C26" s="157"/>
      <c r="D26" s="615"/>
      <c r="E26" s="68"/>
      <c r="F26" s="157"/>
      <c r="G26" s="157"/>
      <c r="H26" s="615"/>
      <c r="I26" s="119"/>
    </row>
    <row r="27" spans="1:9" s="48" customFormat="1" ht="15" customHeight="1">
      <c r="A27" s="624" t="s">
        <v>108</v>
      </c>
      <c r="B27" s="300"/>
      <c r="C27" s="300"/>
      <c r="D27" s="616">
        <f>+D23-D25</f>
        <v>6419100</v>
      </c>
      <c r="E27" s="68"/>
      <c r="F27" s="300"/>
      <c r="G27" s="300"/>
      <c r="H27" s="616">
        <f>+H23-H25</f>
        <v>9852483</v>
      </c>
      <c r="I27" s="119"/>
    </row>
    <row r="28" spans="1:11" s="48" customFormat="1" ht="15" customHeight="1">
      <c r="A28" s="208"/>
      <c r="B28" s="207"/>
      <c r="C28" s="207"/>
      <c r="D28" s="207"/>
      <c r="E28" s="207"/>
      <c r="F28" s="207"/>
      <c r="G28" s="207"/>
      <c r="H28" s="207"/>
      <c r="I28" s="209"/>
      <c r="J28" s="154"/>
      <c r="K28" s="154"/>
    </row>
    <row r="29" spans="1:11" s="48" customFormat="1" ht="15" customHeight="1">
      <c r="A29" s="208"/>
      <c r="B29" s="207"/>
      <c r="C29" s="207"/>
      <c r="D29" s="207"/>
      <c r="E29" s="207"/>
      <c r="F29" s="207"/>
      <c r="G29" s="207"/>
      <c r="H29" s="207"/>
      <c r="I29" s="209"/>
      <c r="J29" s="154"/>
      <c r="K29" s="154"/>
    </row>
    <row r="30" spans="1:11" s="48" customFormat="1" ht="33" customHeight="1">
      <c r="A30" s="713" t="s">
        <v>1004</v>
      </c>
      <c r="B30" s="714"/>
      <c r="C30" s="714"/>
      <c r="D30" s="714"/>
      <c r="E30" s="714"/>
      <c r="F30" s="714"/>
      <c r="G30" s="714"/>
      <c r="H30" s="714"/>
      <c r="I30" s="715"/>
      <c r="J30" s="298"/>
      <c r="K30" s="154"/>
    </row>
    <row r="31" spans="1:9" s="48" customFormat="1" ht="15" customHeight="1">
      <c r="A31" s="289"/>
      <c r="B31" s="290"/>
      <c r="C31" s="290"/>
      <c r="D31" s="290"/>
      <c r="E31" s="290"/>
      <c r="F31" s="290"/>
      <c r="G31" s="290"/>
      <c r="H31" s="290"/>
      <c r="I31" s="291"/>
    </row>
    <row r="32" spans="1:11" s="48" customFormat="1" ht="15" customHeight="1">
      <c r="A32" s="704" t="s">
        <v>42</v>
      </c>
      <c r="B32" s="705"/>
      <c r="C32" s="705"/>
      <c r="D32" s="705"/>
      <c r="E32" s="705"/>
      <c r="F32" s="705"/>
      <c r="G32" s="705"/>
      <c r="H32" s="705"/>
      <c r="I32" s="706"/>
      <c r="J32" s="71"/>
      <c r="K32" s="71"/>
    </row>
    <row r="33" spans="1:9" s="48" customFormat="1" ht="28.5" customHeight="1">
      <c r="A33" s="695" t="s">
        <v>270</v>
      </c>
      <c r="B33" s="696"/>
      <c r="C33" s="696"/>
      <c r="D33" s="696"/>
      <c r="E33" s="696"/>
      <c r="F33" s="696"/>
      <c r="G33" s="696"/>
      <c r="H33" s="696"/>
      <c r="I33" s="697"/>
    </row>
    <row r="34" spans="1:9" s="48" customFormat="1" ht="15" customHeight="1">
      <c r="A34" s="707"/>
      <c r="B34" s="708"/>
      <c r="C34" s="708"/>
      <c r="D34" s="708"/>
      <c r="E34" s="708"/>
      <c r="F34" s="708"/>
      <c r="G34" s="708"/>
      <c r="H34" s="708"/>
      <c r="I34" s="709"/>
    </row>
    <row r="35" spans="1:11" s="48" customFormat="1" ht="15" customHeight="1">
      <c r="A35" s="704" t="s">
        <v>985</v>
      </c>
      <c r="B35" s="705"/>
      <c r="C35" s="705"/>
      <c r="D35" s="705"/>
      <c r="E35" s="705"/>
      <c r="F35" s="705"/>
      <c r="G35" s="705"/>
      <c r="H35" s="705"/>
      <c r="I35" s="706"/>
      <c r="J35" s="71"/>
      <c r="K35" s="71"/>
    </row>
    <row r="36" spans="1:9" s="48" customFormat="1" ht="43.5" customHeight="1">
      <c r="A36" s="695" t="s">
        <v>979</v>
      </c>
      <c r="B36" s="696"/>
      <c r="C36" s="696"/>
      <c r="D36" s="696"/>
      <c r="E36" s="696"/>
      <c r="F36" s="696"/>
      <c r="G36" s="696"/>
      <c r="H36" s="696"/>
      <c r="I36" s="697"/>
    </row>
    <row r="37" spans="1:9" s="48" customFormat="1" ht="15" customHeight="1">
      <c r="A37" s="719"/>
      <c r="B37" s="720"/>
      <c r="C37" s="720"/>
      <c r="D37" s="720"/>
      <c r="E37" s="720"/>
      <c r="F37" s="720"/>
      <c r="G37" s="720"/>
      <c r="H37" s="720"/>
      <c r="I37" s="721"/>
    </row>
    <row r="38" spans="1:11" s="48" customFormat="1" ht="15" customHeight="1">
      <c r="A38" s="704" t="s">
        <v>986</v>
      </c>
      <c r="B38" s="705"/>
      <c r="C38" s="705"/>
      <c r="D38" s="705"/>
      <c r="E38" s="705"/>
      <c r="F38" s="705"/>
      <c r="G38" s="705"/>
      <c r="H38" s="705"/>
      <c r="I38" s="706"/>
      <c r="J38" s="71"/>
      <c r="K38" s="71"/>
    </row>
    <row r="39" spans="1:11" s="48" customFormat="1" ht="15" customHeight="1">
      <c r="A39" s="695" t="s">
        <v>980</v>
      </c>
      <c r="B39" s="696"/>
      <c r="C39" s="696"/>
      <c r="D39" s="696"/>
      <c r="E39" s="696"/>
      <c r="F39" s="696"/>
      <c r="G39" s="696"/>
      <c r="H39" s="696"/>
      <c r="I39" s="697"/>
      <c r="J39" s="71"/>
      <c r="K39" s="71"/>
    </row>
    <row r="40" spans="1:11" s="48" customFormat="1" ht="15" customHeight="1">
      <c r="A40" s="698" t="s">
        <v>981</v>
      </c>
      <c r="B40" s="699"/>
      <c r="C40" s="699"/>
      <c r="D40" s="699"/>
      <c r="E40" s="699"/>
      <c r="F40" s="699"/>
      <c r="G40" s="699"/>
      <c r="H40" s="699"/>
      <c r="I40" s="700"/>
      <c r="J40" s="71"/>
      <c r="K40" s="71"/>
    </row>
    <row r="41" spans="1:11" s="48" customFormat="1" ht="15" customHeight="1">
      <c r="A41" s="707"/>
      <c r="B41" s="708"/>
      <c r="C41" s="708"/>
      <c r="D41" s="708"/>
      <c r="E41" s="708"/>
      <c r="F41" s="708"/>
      <c r="G41" s="708"/>
      <c r="H41" s="708"/>
      <c r="I41" s="709"/>
      <c r="J41" s="730"/>
      <c r="K41" s="730"/>
    </row>
    <row r="42" spans="1:11" s="48" customFormat="1" ht="15" customHeight="1">
      <c r="A42" s="704" t="s">
        <v>987</v>
      </c>
      <c r="B42" s="705"/>
      <c r="C42" s="705"/>
      <c r="D42" s="705"/>
      <c r="E42" s="705"/>
      <c r="F42" s="705"/>
      <c r="G42" s="705"/>
      <c r="H42" s="705"/>
      <c r="I42" s="706"/>
      <c r="J42" s="730"/>
      <c r="K42" s="730"/>
    </row>
    <row r="43" spans="1:11" s="48" customFormat="1" ht="24" customHeight="1">
      <c r="A43" s="701" t="s">
        <v>982</v>
      </c>
      <c r="B43" s="702"/>
      <c r="C43" s="702"/>
      <c r="D43" s="702"/>
      <c r="E43" s="702"/>
      <c r="F43" s="702"/>
      <c r="G43" s="702"/>
      <c r="H43" s="702"/>
      <c r="I43" s="703"/>
      <c r="J43" s="730"/>
      <c r="K43" s="730"/>
    </row>
    <row r="44" spans="1:11" s="48" customFormat="1" ht="18" customHeight="1">
      <c r="A44" s="618"/>
      <c r="B44" s="619"/>
      <c r="C44" s="619"/>
      <c r="D44" s="619"/>
      <c r="E44" s="619"/>
      <c r="F44" s="619"/>
      <c r="G44" s="619"/>
      <c r="H44" s="619"/>
      <c r="I44" s="620"/>
      <c r="J44" s="621"/>
      <c r="K44" s="621"/>
    </row>
    <row r="45" spans="1:11" s="48" customFormat="1" ht="25.5" customHeight="1">
      <c r="A45" s="701" t="s">
        <v>983</v>
      </c>
      <c r="B45" s="702"/>
      <c r="C45" s="702"/>
      <c r="D45" s="702"/>
      <c r="E45" s="702"/>
      <c r="F45" s="702"/>
      <c r="G45" s="702"/>
      <c r="H45" s="702"/>
      <c r="I45" s="703"/>
      <c r="J45" s="730"/>
      <c r="K45" s="730"/>
    </row>
    <row r="46" spans="1:11" s="48" customFormat="1" ht="29.25" customHeight="1">
      <c r="A46" s="701" t="s">
        <v>163</v>
      </c>
      <c r="B46" s="702"/>
      <c r="C46" s="702"/>
      <c r="D46" s="702"/>
      <c r="E46" s="702"/>
      <c r="F46" s="702"/>
      <c r="G46" s="702"/>
      <c r="H46" s="702"/>
      <c r="I46" s="703"/>
      <c r="J46" s="205"/>
      <c r="K46" s="205"/>
    </row>
    <row r="47" spans="1:11" s="48" customFormat="1" ht="18.75" customHeight="1">
      <c r="A47" s="701"/>
      <c r="B47" s="702"/>
      <c r="C47" s="702"/>
      <c r="D47" s="702"/>
      <c r="E47" s="702"/>
      <c r="F47" s="702"/>
      <c r="G47" s="702"/>
      <c r="H47" s="702"/>
      <c r="I47" s="703"/>
      <c r="J47" s="205"/>
      <c r="K47" s="205"/>
    </row>
    <row r="48" spans="1:11" s="48" customFormat="1" ht="15" customHeight="1">
      <c r="A48" s="701" t="s">
        <v>984</v>
      </c>
      <c r="B48" s="702"/>
      <c r="C48" s="702"/>
      <c r="D48" s="702"/>
      <c r="E48" s="702"/>
      <c r="F48" s="702"/>
      <c r="G48" s="702"/>
      <c r="H48" s="702"/>
      <c r="I48" s="703"/>
      <c r="J48" s="205"/>
      <c r="K48" s="205"/>
    </row>
    <row r="49" spans="1:11" s="36" customFormat="1" ht="15" customHeight="1">
      <c r="A49" s="263"/>
      <c r="B49" s="264"/>
      <c r="C49" s="264"/>
      <c r="D49" s="264"/>
      <c r="E49" s="264"/>
      <c r="F49" s="264"/>
      <c r="G49" s="264"/>
      <c r="H49" s="264"/>
      <c r="I49" s="265"/>
      <c r="J49" s="206"/>
      <c r="K49" s="206"/>
    </row>
    <row r="50" spans="1:11" s="36" customFormat="1" ht="15" customHeight="1">
      <c r="A50" s="704" t="s">
        <v>988</v>
      </c>
      <c r="B50" s="705"/>
      <c r="C50" s="705"/>
      <c r="D50" s="705"/>
      <c r="E50" s="705"/>
      <c r="F50" s="705"/>
      <c r="G50" s="705"/>
      <c r="H50" s="705"/>
      <c r="I50" s="706"/>
      <c r="J50" s="206"/>
      <c r="K50" s="206"/>
    </row>
    <row r="51" spans="1:11" s="36" customFormat="1" ht="15" customHeight="1">
      <c r="A51" s="701" t="s">
        <v>164</v>
      </c>
      <c r="B51" s="702"/>
      <c r="C51" s="702"/>
      <c r="D51" s="702"/>
      <c r="E51" s="702"/>
      <c r="F51" s="702"/>
      <c r="G51" s="702"/>
      <c r="H51" s="702"/>
      <c r="I51" s="703"/>
      <c r="J51" s="206"/>
      <c r="K51" s="206"/>
    </row>
    <row r="52" spans="1:11" s="48" customFormat="1" ht="15" customHeight="1">
      <c r="A52" s="266"/>
      <c r="B52" s="267"/>
      <c r="C52" s="267"/>
      <c r="D52" s="267"/>
      <c r="E52" s="267"/>
      <c r="F52" s="267"/>
      <c r="G52" s="267"/>
      <c r="H52" s="267"/>
      <c r="I52" s="268"/>
      <c r="J52" s="205"/>
      <c r="K52" s="205"/>
    </row>
    <row r="53" spans="1:11" s="48" customFormat="1" ht="15" customHeight="1">
      <c r="A53" s="704" t="s">
        <v>990</v>
      </c>
      <c r="B53" s="705"/>
      <c r="C53" s="705"/>
      <c r="D53" s="705"/>
      <c r="E53" s="705"/>
      <c r="F53" s="705"/>
      <c r="G53" s="705"/>
      <c r="H53" s="705"/>
      <c r="I53" s="706"/>
      <c r="J53" s="730"/>
      <c r="K53" s="730"/>
    </row>
    <row r="54" spans="1:11" s="48" customFormat="1" ht="36.75" customHeight="1">
      <c r="A54" s="701" t="s">
        <v>989</v>
      </c>
      <c r="B54" s="702"/>
      <c r="C54" s="702"/>
      <c r="D54" s="702"/>
      <c r="E54" s="702"/>
      <c r="F54" s="702"/>
      <c r="G54" s="702"/>
      <c r="H54" s="702"/>
      <c r="I54" s="703"/>
      <c r="J54" s="205"/>
      <c r="K54" s="205"/>
    </row>
    <row r="55" spans="1:11" s="48" customFormat="1" ht="15" customHeight="1">
      <c r="A55" s="289"/>
      <c r="B55" s="290"/>
      <c r="C55" s="290"/>
      <c r="D55" s="290"/>
      <c r="E55" s="290"/>
      <c r="F55" s="290"/>
      <c r="G55" s="290"/>
      <c r="H55" s="290"/>
      <c r="I55" s="291"/>
      <c r="J55" s="288"/>
      <c r="K55" s="288"/>
    </row>
    <row r="56" spans="1:11" s="48" customFormat="1" ht="15" customHeight="1">
      <c r="A56" s="732"/>
      <c r="B56" s="733"/>
      <c r="C56" s="733"/>
      <c r="D56" s="733"/>
      <c r="E56" s="733"/>
      <c r="F56" s="733"/>
      <c r="G56" s="733"/>
      <c r="H56" s="733"/>
      <c r="I56" s="734"/>
      <c r="J56" s="70"/>
      <c r="K56" s="70"/>
    </row>
    <row r="57" spans="1:11" s="48" customFormat="1" ht="15" customHeight="1">
      <c r="A57" s="302"/>
      <c r="B57" s="301"/>
      <c r="C57" s="301"/>
      <c r="D57" s="301"/>
      <c r="E57" s="301"/>
      <c r="F57" s="301"/>
      <c r="G57" s="301"/>
      <c r="H57" s="301"/>
      <c r="I57" s="303"/>
      <c r="J57" s="301"/>
      <c r="K57" s="301"/>
    </row>
    <row r="58" spans="1:11" s="48" customFormat="1" ht="15" customHeight="1">
      <c r="A58" s="292"/>
      <c r="B58" s="293"/>
      <c r="C58" s="293"/>
      <c r="D58" s="293"/>
      <c r="E58" s="293"/>
      <c r="F58" s="293"/>
      <c r="G58" s="293"/>
      <c r="H58" s="293"/>
      <c r="I58" s="294"/>
      <c r="J58" s="205"/>
      <c r="K58" s="205"/>
    </row>
    <row r="59" spans="1:11" s="48" customFormat="1" ht="15" customHeight="1">
      <c r="A59" s="704"/>
      <c r="B59" s="705"/>
      <c r="C59" s="705"/>
      <c r="D59" s="705"/>
      <c r="E59" s="705"/>
      <c r="F59" s="705"/>
      <c r="G59" s="705"/>
      <c r="H59" s="705"/>
      <c r="I59" s="706"/>
      <c r="J59" s="205"/>
      <c r="K59" s="205"/>
    </row>
    <row r="60" spans="1:11" s="72" customFormat="1" ht="36" customHeight="1">
      <c r="A60" s="701"/>
      <c r="B60" s="702"/>
      <c r="C60" s="702"/>
      <c r="D60" s="702"/>
      <c r="E60" s="702"/>
      <c r="F60" s="702"/>
      <c r="G60" s="702"/>
      <c r="H60" s="702"/>
      <c r="I60" s="703"/>
      <c r="J60" s="229"/>
      <c r="K60" s="229"/>
    </row>
    <row r="61" spans="1:11" s="72" customFormat="1" ht="23.25" customHeight="1">
      <c r="A61" s="701"/>
      <c r="B61" s="702"/>
      <c r="C61" s="702"/>
      <c r="D61" s="702"/>
      <c r="E61" s="702"/>
      <c r="F61" s="702"/>
      <c r="G61" s="702"/>
      <c r="H61" s="702"/>
      <c r="I61" s="703"/>
      <c r="J61" s="229"/>
      <c r="K61" s="229"/>
    </row>
    <row r="62" spans="1:11" s="48" customFormat="1" ht="15" customHeight="1">
      <c r="A62" s="118"/>
      <c r="B62" s="68"/>
      <c r="C62" s="68"/>
      <c r="D62" s="68"/>
      <c r="E62" s="68"/>
      <c r="F62" s="68"/>
      <c r="G62" s="68"/>
      <c r="H62" s="68"/>
      <c r="I62" s="119"/>
      <c r="J62" s="228"/>
      <c r="K62" s="228"/>
    </row>
    <row r="63" spans="1:11" s="48" customFormat="1" ht="15" customHeight="1">
      <c r="A63" s="704"/>
      <c r="B63" s="705"/>
      <c r="C63" s="705"/>
      <c r="D63" s="705"/>
      <c r="E63" s="705"/>
      <c r="F63" s="705"/>
      <c r="G63" s="705"/>
      <c r="H63" s="705"/>
      <c r="I63" s="706"/>
      <c r="J63" s="205"/>
      <c r="K63" s="205"/>
    </row>
    <row r="64" spans="1:11" s="48" customFormat="1" ht="25.5" customHeight="1">
      <c r="A64" s="701"/>
      <c r="B64" s="702"/>
      <c r="C64" s="702"/>
      <c r="D64" s="702"/>
      <c r="E64" s="702"/>
      <c r="F64" s="702"/>
      <c r="G64" s="702"/>
      <c r="H64" s="702"/>
      <c r="I64" s="703"/>
      <c r="J64" s="205"/>
      <c r="K64" s="205"/>
    </row>
    <row r="65" spans="1:11" s="48" customFormat="1" ht="29.25" customHeight="1">
      <c r="A65" s="728"/>
      <c r="B65" s="728"/>
      <c r="C65" s="728"/>
      <c r="D65" s="728"/>
      <c r="E65" s="728"/>
      <c r="F65" s="728"/>
      <c r="G65" s="728"/>
      <c r="H65" s="728"/>
      <c r="I65" s="729"/>
      <c r="J65" s="205"/>
      <c r="K65" s="205"/>
    </row>
    <row r="66" spans="1:9" s="36" customFormat="1" ht="15" customHeight="1">
      <c r="A66" s="735"/>
      <c r="B66" s="736"/>
      <c r="C66" s="736"/>
      <c r="D66" s="736"/>
      <c r="E66" s="736"/>
      <c r="F66" s="736"/>
      <c r="G66" s="736"/>
      <c r="H66" s="736"/>
      <c r="I66" s="737"/>
    </row>
    <row r="67" s="48" customFormat="1" ht="15" customHeight="1"/>
    <row r="68" s="48" customFormat="1" ht="15" customHeight="1"/>
    <row r="69" s="48" customFormat="1" ht="15" customHeight="1">
      <c r="A69" s="305"/>
    </row>
    <row r="70" s="48" customFormat="1" ht="15" customHeight="1"/>
    <row r="71" s="48" customFormat="1" ht="15" customHeight="1"/>
    <row r="72" ht="15" customHeight="1"/>
    <row r="73" ht="15" customHeight="1"/>
    <row r="74" ht="15" customHeight="1"/>
    <row r="75" ht="15" customHeight="1"/>
    <row r="76" ht="15" customHeight="1"/>
    <row r="77" ht="15" customHeight="1"/>
    <row r="78" ht="15" customHeight="1"/>
    <row r="79" ht="15" customHeight="1"/>
    <row r="83" spans="6:14" ht="12.75">
      <c r="F83" s="731"/>
      <c r="G83" s="731"/>
      <c r="H83" s="731"/>
      <c r="I83" s="731"/>
      <c r="J83" s="731"/>
      <c r="K83" s="731"/>
      <c r="L83" s="731"/>
      <c r="M83" s="731"/>
      <c r="N83" s="731"/>
    </row>
  </sheetData>
  <sheetProtection/>
  <mergeCells count="46">
    <mergeCell ref="J41:K41"/>
    <mergeCell ref="F83:N83"/>
    <mergeCell ref="J53:K53"/>
    <mergeCell ref="A54:I54"/>
    <mergeCell ref="A56:I56"/>
    <mergeCell ref="A47:I47"/>
    <mergeCell ref="J42:K42"/>
    <mergeCell ref="J43:K43"/>
    <mergeCell ref="J45:K45"/>
    <mergeCell ref="A66:I66"/>
    <mergeCell ref="A59:I59"/>
    <mergeCell ref="A60:I60"/>
    <mergeCell ref="A53:I53"/>
    <mergeCell ref="A61:I61"/>
    <mergeCell ref="A50:I50"/>
    <mergeCell ref="A65:I65"/>
    <mergeCell ref="A63:I63"/>
    <mergeCell ref="A64:I64"/>
    <mergeCell ref="A51:I51"/>
    <mergeCell ref="A6:I6"/>
    <mergeCell ref="A35:I35"/>
    <mergeCell ref="A38:I38"/>
    <mergeCell ref="A37:I37"/>
    <mergeCell ref="A14:I14"/>
    <mergeCell ref="A7:I7"/>
    <mergeCell ref="A13:I13"/>
    <mergeCell ref="A11:I11"/>
    <mergeCell ref="A34:I34"/>
    <mergeCell ref="A32:I32"/>
    <mergeCell ref="A48:I48"/>
    <mergeCell ref="A41:I41"/>
    <mergeCell ref="A33:I33"/>
    <mergeCell ref="A10:I10"/>
    <mergeCell ref="A12:I12"/>
    <mergeCell ref="A18:I18"/>
    <mergeCell ref="A17:I17"/>
    <mergeCell ref="A30:I30"/>
    <mergeCell ref="A15:I15"/>
    <mergeCell ref="A16:I16"/>
    <mergeCell ref="A39:I39"/>
    <mergeCell ref="A40:I40"/>
    <mergeCell ref="A36:I36"/>
    <mergeCell ref="A43:I43"/>
    <mergeCell ref="A45:I45"/>
    <mergeCell ref="A46:I46"/>
    <mergeCell ref="A42:I42"/>
  </mergeCells>
  <hyperlinks>
    <hyperlink ref="I1" location="BG!A1" display="BG"/>
  </hyperlinks>
  <printOptions/>
  <pageMargins left="0.7086614173228347" right="0.7086614173228347" top="0.7480314960629921" bottom="0.7480314960629921" header="0.31496062992125984" footer="0.31496062992125984"/>
  <pageSetup horizontalDpi="600" verticalDpi="600" orientation="portrait" paperSize="5" scale="80" r:id="rId1"/>
</worksheet>
</file>

<file path=xl/worksheets/sheet9.xml><?xml version="1.0" encoding="utf-8"?>
<worksheet xmlns="http://schemas.openxmlformats.org/spreadsheetml/2006/main" xmlns:r="http://schemas.openxmlformats.org/officeDocument/2006/relationships">
  <sheetPr codeName="Hoja8"/>
  <dimension ref="A1:E20"/>
  <sheetViews>
    <sheetView showGridLines="0" zoomScalePageLayoutView="0" workbookViewId="0" topLeftCell="A1">
      <selection activeCell="D15" sqref="D15:D16"/>
    </sheetView>
  </sheetViews>
  <sheetFormatPr defaultColWidth="11.421875" defaultRowHeight="15"/>
  <cols>
    <col min="1" max="1" width="45.421875" style="2" customWidth="1"/>
    <col min="2" max="2" width="5.8515625" style="2" customWidth="1"/>
    <col min="3" max="3" width="22.8515625" style="2" customWidth="1"/>
    <col min="4" max="4" width="16.57421875" style="2" customWidth="1"/>
    <col min="5" max="16384" width="11.421875" style="2" customWidth="1"/>
  </cols>
  <sheetData>
    <row r="1" spans="1:5" ht="15">
      <c r="A1" s="480" t="str">
        <f>+'Nota 2'!A1</f>
        <v>IMPORT CENTER S.A.</v>
      </c>
      <c r="B1" s="480"/>
      <c r="C1" s="480"/>
      <c r="E1" s="176" t="s">
        <v>129</v>
      </c>
    </row>
    <row r="2" spans="1:3" ht="15">
      <c r="A2" s="480"/>
      <c r="B2" s="480"/>
      <c r="C2" s="480"/>
    </row>
    <row r="7" spans="1:4" ht="12.75">
      <c r="A7" s="306" t="s">
        <v>415</v>
      </c>
      <c r="B7" s="306"/>
      <c r="C7" s="306"/>
      <c r="D7" s="306"/>
    </row>
    <row r="8" spans="1:2" ht="12.75">
      <c r="A8" s="425" t="s">
        <v>293</v>
      </c>
      <c r="B8" s="425"/>
    </row>
    <row r="9" ht="12.75">
      <c r="A9" s="4" t="s">
        <v>4</v>
      </c>
    </row>
    <row r="10" ht="12.75">
      <c r="A10" s="4"/>
    </row>
    <row r="11" spans="1:4" ht="12.75">
      <c r="A11" s="49" t="s">
        <v>5</v>
      </c>
      <c r="B11" s="50"/>
      <c r="C11" s="424">
        <f>_xlfn.IFERROR(IF(Indice!B6="","2XX2",YEAR(Indice!B6)),"2XX2")</f>
        <v>2021</v>
      </c>
      <c r="D11" s="424">
        <f>_xlfn.IFERROR(YEAR(Indice!B6-365),"2XX1")</f>
        <v>2020</v>
      </c>
    </row>
    <row r="12" spans="1:4" ht="12.75">
      <c r="A12" s="51"/>
      <c r="B12" s="50"/>
      <c r="C12" s="125"/>
      <c r="D12" s="125"/>
    </row>
    <row r="13" spans="1:4" ht="12.75">
      <c r="A13" s="53" t="s">
        <v>2</v>
      </c>
      <c r="B13" s="50"/>
      <c r="C13" s="54">
        <v>471717</v>
      </c>
      <c r="D13" s="54">
        <f>300035+115490</f>
        <v>415525</v>
      </c>
    </row>
    <row r="14" spans="1:4" ht="12.75">
      <c r="A14" s="11" t="s">
        <v>6</v>
      </c>
      <c r="B14" s="52"/>
      <c r="C14" s="54"/>
      <c r="D14" s="54"/>
    </row>
    <row r="15" spans="1:4" ht="12.75">
      <c r="A15" s="53" t="s">
        <v>412</v>
      </c>
      <c r="B15" s="52"/>
      <c r="C15" s="54">
        <f>393040-C16</f>
        <v>309751</v>
      </c>
      <c r="D15" s="54">
        <v>4462927</v>
      </c>
    </row>
    <row r="16" spans="1:4" ht="12.75">
      <c r="A16" s="53" t="s">
        <v>411</v>
      </c>
      <c r="B16" s="52"/>
      <c r="C16" s="54">
        <f>77080+6209</f>
        <v>83289</v>
      </c>
      <c r="D16" s="54">
        <v>2404893</v>
      </c>
    </row>
    <row r="17" spans="1:4" ht="12.75">
      <c r="A17" s="53" t="s">
        <v>414</v>
      </c>
      <c r="B17" s="52"/>
      <c r="C17" s="54"/>
      <c r="D17" s="54"/>
    </row>
    <row r="18" spans="1:4" ht="12.75">
      <c r="A18" s="53" t="s">
        <v>413</v>
      </c>
      <c r="B18" s="52"/>
      <c r="C18" s="54"/>
      <c r="D18" s="54"/>
    </row>
    <row r="19" spans="1:4" ht="12.75">
      <c r="A19" s="53" t="s">
        <v>66</v>
      </c>
      <c r="B19" s="52"/>
      <c r="C19" s="54"/>
      <c r="D19" s="54"/>
    </row>
    <row r="20" spans="1:4" ht="13.5" thickBot="1">
      <c r="A20" s="55" t="s">
        <v>3</v>
      </c>
      <c r="B20" s="56"/>
      <c r="C20" s="57">
        <f>SUM($C$13:C19)</f>
        <v>864757</v>
      </c>
      <c r="D20" s="57">
        <f>SUM($D$13:D19)</f>
        <v>7283345</v>
      </c>
    </row>
    <row r="21" ht="13.5" thickTop="1"/>
  </sheetData>
  <sheetProtection/>
  <hyperlinks>
    <hyperlink ref="E1" location="BG!A1" display="BG"/>
  </hyperlinks>
  <printOptions/>
  <pageMargins left="0.7086614173228347" right="0.7086614173228347" top="0.7480314960629921" bottom="0.7480314960629921" header="0.31496062992125984" footer="0.31496062992125984"/>
  <pageSetup horizontalDpi="600" verticalDpi="600" orientation="portrait" paperSize="5"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CONTABILIDAD</dc:creator>
  <cp:keywords/>
  <dc:description/>
  <cp:lastModifiedBy>Gloria</cp:lastModifiedBy>
  <cp:lastPrinted>2019-08-03T16:59:14Z</cp:lastPrinted>
  <dcterms:created xsi:type="dcterms:W3CDTF">2019-05-02T15:06:12Z</dcterms:created>
  <dcterms:modified xsi:type="dcterms:W3CDTF">2022-03-30T21:12:46Z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