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externalLinks/externalLink1.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Override PartName="/_xmlsignatures/sig6.xml" ContentType="application/vnd.openxmlformats-package.digital-signature-xmlsignature+xml"/>
  <Override PartName="/_xmlsignatures/sig7.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digital-signature/origin" Target="_xmlsignatures/origin.sigs"/><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mc:AlternateContent xmlns:mc="http://schemas.openxmlformats.org/markup-compatibility/2006">
    <mc:Choice Requires="x15">
      <x15ac:absPath xmlns:x15ac="http://schemas.microsoft.com/office/spreadsheetml/2010/11/ac" url="https://sallustropy-my.sharepoint.com/personal/minsfran_sallustro_com_py/Documents/Escritorio/Escritorio/4TO TRIMESTRE/4to. trimestre 2024/PARA FIRMA FINAL/"/>
    </mc:Choice>
  </mc:AlternateContent>
  <xr:revisionPtr revIDLastSave="0" documentId="14_{D42EE3A4-A29E-41AE-9567-A5CFCBFCDF0E}" xr6:coauthVersionLast="47" xr6:coauthVersionMax="47" xr10:uidLastSave="{00000000-0000-0000-0000-000000000000}"/>
  <bookViews>
    <workbookView xWindow="-120" yWindow="-120" windowWidth="20730" windowHeight="11040" tabRatio="759" activeTab="1" xr2:uid="{00000000-000D-0000-FFFF-FFFF00000000}"/>
  </bookViews>
  <sheets>
    <sheet name="Indice" sheetId="16" r:id="rId1"/>
    <sheet name="BG" sheetId="25" r:id="rId2"/>
    <sheet name="ER" sheetId="19" r:id="rId3"/>
    <sheet name="EVPN" sheetId="24" r:id="rId4"/>
    <sheet name="EFE" sheetId="23" r:id="rId5"/>
    <sheet name="Nota1" sheetId="1" r:id="rId6"/>
    <sheet name="Nota 2" sheetId="2" r:id="rId7"/>
    <sheet name="Nota 3" sheetId="3" r:id="rId8"/>
    <sheet name="Nota 4" sheetId="38" r:id="rId9"/>
    <sheet name="Nota 5" sheetId="4" r:id="rId10"/>
    <sheet name="Nota 6" sheetId="5" r:id="rId11"/>
    <sheet name="Nota 7" sheetId="7" r:id="rId12"/>
    <sheet name="Nota 8" sheetId="67" r:id="rId13"/>
    <sheet name="Nota 9" sheetId="66" r:id="rId14"/>
    <sheet name="Nota 10" sheetId="9" r:id="rId15"/>
    <sheet name="Nota 11" sheetId="41" r:id="rId16"/>
    <sheet name="Nota 12" sheetId="42" r:id="rId17"/>
    <sheet name="Nota 13" sheetId="10" r:id="rId18"/>
    <sheet name="Nota 14" sheetId="8" r:id="rId19"/>
    <sheet name="Nota 15" sheetId="43" r:id="rId20"/>
    <sheet name="Nota 16" sheetId="44" r:id="rId21"/>
    <sheet name="Nota 17" sheetId="45" r:id="rId22"/>
    <sheet name="Nota 18" sheetId="46" r:id="rId23"/>
    <sheet name="Nota 19" sheetId="12" r:id="rId24"/>
    <sheet name="Nota 20" sheetId="14" r:id="rId25"/>
    <sheet name=" Nota 21" sheetId="47" r:id="rId26"/>
    <sheet name="Nota 22" sheetId="48" r:id="rId27"/>
    <sheet name="Nota 23" sheetId="49" r:id="rId28"/>
    <sheet name="Nota 24" sheetId="68" r:id="rId29"/>
    <sheet name="Nota 25" sheetId="50" r:id="rId30"/>
    <sheet name="Nota 26" sheetId="51" r:id="rId31"/>
    <sheet name="Nota 27" sheetId="65" r:id="rId32"/>
    <sheet name="Nota 28" sheetId="53" r:id="rId33"/>
    <sheet name="Nota 29" sheetId="52" r:id="rId34"/>
    <sheet name="Nota 30" sheetId="54" r:id="rId35"/>
    <sheet name="Nota 31" sheetId="55" r:id="rId36"/>
    <sheet name="Nota 32" sheetId="69" r:id="rId37"/>
    <sheet name="Nota 33" sheetId="56" r:id="rId38"/>
    <sheet name="Nota 34" sheetId="57" r:id="rId39"/>
    <sheet name="Nota 35" sheetId="64" r:id="rId40"/>
    <sheet name="Nota 36" sheetId="60" r:id="rId41"/>
    <sheet name="Nota 37" sheetId="62" r:id="rId42"/>
    <sheet name="Nota 38" sheetId="70" r:id="rId43"/>
    <sheet name="Nota 39" sheetId="63" r:id="rId44"/>
    <sheet name="Nota 40" sheetId="72" r:id="rId45"/>
    <sheet name="Base de Monedas" sheetId="71" r:id="rId46"/>
  </sheets>
  <externalReferences>
    <externalReference r:id="rId47"/>
  </externalReferences>
  <definedNames>
    <definedName name="_Hlk15378568" localSheetId="6">'Nota 2'!$A$12</definedName>
    <definedName name="_xlnm.Print_Area" localSheetId="25">' Nota 21'!$A$1:$H$42</definedName>
    <definedName name="_xlnm.Print_Area" localSheetId="1">BG!$A$1:$G$75</definedName>
    <definedName name="_xlnm.Print_Area" localSheetId="2">ER!$A$1:$D$42</definedName>
    <definedName name="_xlnm.Print_Area" localSheetId="0">Indice!$A$1:$D$77</definedName>
    <definedName name="_xlnm.Print_Area" localSheetId="14">'Nota 10'!#REF!</definedName>
    <definedName name="_xlnm.Print_Area" localSheetId="15">'Nota 11'!$A$1:$C$15</definedName>
    <definedName name="_xlnm.Print_Area" localSheetId="16">'Nota 12'!$A$1:$D$16</definedName>
    <definedName name="_xlnm.Print_Area" localSheetId="18">'Nota 14'!$A$1:$L$127</definedName>
    <definedName name="_xlnm.Print_Area" localSheetId="19">'Nota 15'!$A$1:$C$17</definedName>
    <definedName name="_xlnm.Print_Area" localSheetId="20">'Nota 16'!$A$1:$C$16</definedName>
    <definedName name="_xlnm.Print_Area" localSheetId="21">'Nota 17'!$A$1:$C$17</definedName>
    <definedName name="_xlnm.Print_Area" localSheetId="22">'Nota 18'!$A$1:$C$13</definedName>
    <definedName name="_xlnm.Print_Area" localSheetId="6">'Nota 2'!$A$1:$I$92</definedName>
    <definedName name="_xlnm.Print_Area" localSheetId="24">'Nota 20'!$A$1:$C$11</definedName>
    <definedName name="_xlnm.Print_Area" localSheetId="26">'Nota 22'!$A$1:$C$14</definedName>
    <definedName name="_xlnm.Print_Area" localSheetId="27">'Nota 23'!$A$1:$C$10</definedName>
    <definedName name="_xlnm.Print_Area" localSheetId="28">'Nota 24'!$A$1:$C$15</definedName>
    <definedName name="_xlnm.Print_Area" localSheetId="29">'Nota 25'!$A$1:$C$26</definedName>
    <definedName name="_xlnm.Print_Area" localSheetId="30">'Nota 26'!$A$1:$C$22</definedName>
    <definedName name="_xlnm.Print_Area" localSheetId="31">'Nota 27'!$A$1:$G$53</definedName>
    <definedName name="_xlnm.Print_Area" localSheetId="32">'Nota 28'!$A$1:$G$20</definedName>
    <definedName name="_xlnm.Print_Area" localSheetId="33">'Nota 29'!$A$1:$G$15</definedName>
    <definedName name="_xlnm.Print_Area" localSheetId="34">'Nota 30'!$A$1:$C$16</definedName>
    <definedName name="_xlnm.Print_Area" localSheetId="35">'Nota 31'!$A$1:$C$17</definedName>
    <definedName name="_xlnm.Print_Area" localSheetId="36">'Nota 32'!$A$1:$D$12</definedName>
    <definedName name="_xlnm.Print_Area" localSheetId="37">'Nota 33'!$A$1:$C$13</definedName>
    <definedName name="_xlnm.Print_Area" localSheetId="38">'Nota 34'!$A$1:$C$14</definedName>
    <definedName name="_xlnm.Print_Area" localSheetId="40">'Nota 36'!$A$1:$E$20</definedName>
    <definedName name="_xlnm.Print_Area" localSheetId="41">'Nota 37'!$A$1:$E$31</definedName>
    <definedName name="_xlnm.Print_Area" localSheetId="42">'Nota 38'!$A$1:$G$25</definedName>
    <definedName name="_xlnm.Print_Area" localSheetId="43">'Nota 39'!$A$1:$E$56</definedName>
    <definedName name="_xlnm.Print_Area" localSheetId="44">'Nota 40'!$A$1:$C$66</definedName>
    <definedName name="_xlnm.Print_Area" localSheetId="9">'Nota 5'!$A$1:$H$47</definedName>
    <definedName name="_xlnm.Print_Area" localSheetId="10">'Nota 6'!$A$1:$D$36</definedName>
    <definedName name="_xlnm.Print_Area" localSheetId="12">'Nota 8'!$A$1:$F$28</definedName>
    <definedName name="_xlnm.Print_Area" localSheetId="13">'Nota 9'!$A$1:$M$31</definedName>
    <definedName name="_xlnm.Print_Area" localSheetId="5">Nota1!$A$1:$I$68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2" i="72" l="1"/>
  <c r="C51" i="3" l="1"/>
  <c r="H27" i="2"/>
  <c r="D27" i="2"/>
  <c r="B53" i="4"/>
  <c r="F14" i="25" l="1"/>
  <c r="B60" i="72"/>
  <c r="B59" i="72"/>
  <c r="B14" i="72"/>
  <c r="B12" i="72"/>
  <c r="B9" i="65"/>
  <c r="B14" i="50"/>
  <c r="E9" i="65" l="1"/>
  <c r="B14" i="51"/>
  <c r="B11" i="51"/>
  <c r="B13" i="50"/>
  <c r="B16" i="12"/>
  <c r="C16" i="12"/>
  <c r="D120" i="8"/>
  <c r="D115" i="8"/>
  <c r="D112" i="8"/>
  <c r="D102" i="8"/>
  <c r="D99" i="8"/>
  <c r="D107" i="8"/>
  <c r="D83" i="8"/>
  <c r="D53" i="8"/>
  <c r="B12" i="51" l="1"/>
  <c r="B22" i="51" s="1"/>
  <c r="J78" i="8"/>
  <c r="D9" i="10" l="1"/>
  <c r="C19" i="4" l="1"/>
  <c r="C15" i="4"/>
  <c r="B52" i="4" s="1"/>
  <c r="C13" i="38"/>
  <c r="B13" i="38"/>
  <c r="B10" i="38"/>
  <c r="D25" i="2" s="1"/>
  <c r="B9" i="38"/>
  <c r="D51" i="3"/>
  <c r="N25" i="24"/>
  <c r="T17" i="24"/>
  <c r="C27" i="4" l="1"/>
  <c r="F16" i="25" s="1"/>
  <c r="I21" i="66"/>
  <c r="H21" i="66" s="1"/>
  <c r="H22" i="66" l="1"/>
  <c r="D21" i="66" l="1"/>
  <c r="H20" i="66" l="1"/>
  <c r="H19" i="66"/>
  <c r="H18" i="66"/>
  <c r="H17" i="66"/>
  <c r="G27" i="66"/>
  <c r="C26" i="66" l="1"/>
  <c r="C25" i="66"/>
  <c r="C24" i="66"/>
  <c r="C23" i="66"/>
  <c r="C22" i="66"/>
  <c r="C21" i="66"/>
  <c r="C20" i="66"/>
  <c r="C19" i="66"/>
  <c r="C18" i="66"/>
  <c r="C17" i="66"/>
  <c r="C66" i="72" l="1"/>
  <c r="C54" i="72"/>
  <c r="G16" i="65"/>
  <c r="F7" i="65"/>
  <c r="C7" i="65"/>
  <c r="C35" i="47"/>
  <c r="A21" i="9" l="1"/>
  <c r="C33" i="47" l="1"/>
  <c r="B33" i="47"/>
  <c r="C23" i="47"/>
  <c r="B23" i="47"/>
  <c r="D65" i="8" l="1"/>
  <c r="D50" i="8"/>
  <c r="H25" i="2" l="1"/>
  <c r="K26" i="2" l="1"/>
  <c r="K28" i="2" l="1"/>
  <c r="J94" i="8"/>
  <c r="J95" i="8"/>
  <c r="J35" i="8"/>
  <c r="J36" i="8"/>
  <c r="J38" i="8"/>
  <c r="C14" i="44" l="1"/>
  <c r="B14" i="44"/>
  <c r="E74" i="8"/>
  <c r="C46" i="4"/>
  <c r="D16" i="65"/>
  <c r="D17" i="65"/>
  <c r="D18" i="65"/>
  <c r="D19" i="65"/>
  <c r="D20" i="65"/>
  <c r="D21" i="65"/>
  <c r="D22" i="65"/>
  <c r="D23" i="65"/>
  <c r="D24" i="65"/>
  <c r="D25" i="65"/>
  <c r="D26" i="65"/>
  <c r="D27" i="65"/>
  <c r="D28" i="65"/>
  <c r="D29" i="65"/>
  <c r="D30" i="65"/>
  <c r="D31" i="65"/>
  <c r="D32" i="65"/>
  <c r="D33" i="65"/>
  <c r="D34" i="65"/>
  <c r="D35" i="65"/>
  <c r="D36" i="65"/>
  <c r="D37" i="65"/>
  <c r="D38" i="65"/>
  <c r="D39" i="65"/>
  <c r="D40" i="65"/>
  <c r="D41" i="65"/>
  <c r="D42" i="65"/>
  <c r="D43" i="65"/>
  <c r="D44" i="65"/>
  <c r="D45" i="65"/>
  <c r="D46" i="65"/>
  <c r="D47" i="65"/>
  <c r="D48" i="65"/>
  <c r="D49" i="65"/>
  <c r="D50" i="65"/>
  <c r="D51" i="65"/>
  <c r="D52" i="65"/>
  <c r="D34" i="8"/>
  <c r="D33" i="8"/>
  <c r="D69" i="8"/>
  <c r="C39" i="23" l="1"/>
  <c r="B33" i="23"/>
  <c r="B27" i="23"/>
  <c r="F53" i="65" l="1"/>
  <c r="E53" i="65"/>
  <c r="K74" i="8"/>
  <c r="C35" i="5"/>
  <c r="C23" i="5"/>
  <c r="B23" i="5"/>
  <c r="F17" i="25" s="1"/>
  <c r="D46" i="4"/>
  <c r="D27" i="4"/>
  <c r="C10" i="69"/>
  <c r="G15" i="52"/>
  <c r="G19" i="53"/>
  <c r="C15" i="45"/>
  <c r="B15" i="38"/>
  <c r="C15" i="38"/>
  <c r="C11" i="38"/>
  <c r="M18" i="66"/>
  <c r="B27" i="66"/>
  <c r="C38" i="72"/>
  <c r="C24" i="72"/>
  <c r="C19" i="53"/>
  <c r="G52" i="65"/>
  <c r="G51" i="65"/>
  <c r="G50" i="65"/>
  <c r="G49" i="65"/>
  <c r="G48" i="65"/>
  <c r="G47" i="65"/>
  <c r="G46" i="65"/>
  <c r="G45" i="65"/>
  <c r="G44" i="65"/>
  <c r="G43" i="65"/>
  <c r="G42" i="65"/>
  <c r="G41" i="65"/>
  <c r="G40" i="65"/>
  <c r="G39" i="65"/>
  <c r="G38" i="65"/>
  <c r="G37" i="65"/>
  <c r="G36" i="65"/>
  <c r="G35" i="65"/>
  <c r="G34" i="65"/>
  <c r="G33" i="65"/>
  <c r="G32" i="65"/>
  <c r="G31" i="65"/>
  <c r="G30" i="65"/>
  <c r="G29" i="65"/>
  <c r="G28" i="65"/>
  <c r="G27" i="65"/>
  <c r="G26" i="65"/>
  <c r="G25" i="65"/>
  <c r="G24" i="65"/>
  <c r="G23" i="65"/>
  <c r="G22" i="65"/>
  <c r="G21" i="65"/>
  <c r="G20" i="65"/>
  <c r="G19" i="65"/>
  <c r="G18" i="65"/>
  <c r="G17" i="65"/>
  <c r="G15" i="65"/>
  <c r="G14" i="65"/>
  <c r="G13" i="65"/>
  <c r="G12" i="65"/>
  <c r="G11" i="65"/>
  <c r="G10" i="65"/>
  <c r="G9" i="65"/>
  <c r="C26" i="50"/>
  <c r="C8" i="47"/>
  <c r="C11" i="14"/>
  <c r="C9" i="14"/>
  <c r="G16" i="12"/>
  <c r="K126" i="8"/>
  <c r="E126" i="8"/>
  <c r="J126" i="8"/>
  <c r="J74" i="8"/>
  <c r="J39" i="8"/>
  <c r="E13" i="10"/>
  <c r="C13" i="41"/>
  <c r="C13" i="7"/>
  <c r="G53" i="65" l="1"/>
  <c r="D12" i="8"/>
  <c r="O24" i="2" l="1"/>
  <c r="P24" i="2" s="1"/>
  <c r="O23" i="2"/>
  <c r="P23" i="2" s="1"/>
  <c r="B24" i="72" l="1"/>
  <c r="N16" i="24" l="1"/>
  <c r="C21" i="51" l="1"/>
  <c r="B9" i="14" l="1"/>
  <c r="M19" i="66" l="1"/>
  <c r="M20" i="66"/>
  <c r="M21" i="66"/>
  <c r="M22" i="66"/>
  <c r="M23" i="66"/>
  <c r="M24" i="66"/>
  <c r="M25" i="66"/>
  <c r="M26" i="66"/>
  <c r="L19" i="66"/>
  <c r="L20" i="66"/>
  <c r="F23" i="25" l="1"/>
  <c r="G23" i="25"/>
  <c r="C69" i="4" l="1"/>
  <c r="C67" i="4"/>
  <c r="C68" i="4"/>
  <c r="B59" i="4"/>
  <c r="F42" i="25"/>
  <c r="G42" i="25"/>
  <c r="U34" i="24"/>
  <c r="B19" i="53"/>
  <c r="F16" i="12"/>
  <c r="F43" i="25" s="1"/>
  <c r="C53" i="65"/>
  <c r="C13" i="19" s="1"/>
  <c r="B53" i="65"/>
  <c r="A42" i="62"/>
  <c r="D116" i="8"/>
  <c r="D119" i="8"/>
  <c r="D106" i="8"/>
  <c r="D103" i="8"/>
  <c r="D87" i="8"/>
  <c r="D90" i="8"/>
  <c r="D86" i="8"/>
  <c r="D37" i="8"/>
  <c r="D71" i="8"/>
  <c r="D12" i="65"/>
  <c r="B8" i="47"/>
  <c r="F49" i="25" s="1"/>
  <c r="G17" i="25"/>
  <c r="C20" i="23"/>
  <c r="B20" i="23"/>
  <c r="B39" i="23" s="1"/>
  <c r="B42" i="23" s="1"/>
  <c r="G24" i="25"/>
  <c r="B50" i="4"/>
  <c r="C27" i="66"/>
  <c r="E27" i="66"/>
  <c r="A1" i="63"/>
  <c r="T21" i="24"/>
  <c r="T20" i="24"/>
  <c r="D15" i="8"/>
  <c r="B35" i="47"/>
  <c r="F52" i="25" s="1"/>
  <c r="G49" i="25"/>
  <c r="D67" i="8"/>
  <c r="D52" i="8"/>
  <c r="D46" i="8"/>
  <c r="D23" i="8"/>
  <c r="D21" i="8"/>
  <c r="D17" i="8"/>
  <c r="D17" i="19"/>
  <c r="D10" i="19"/>
  <c r="C10" i="19"/>
  <c r="G52" i="25"/>
  <c r="G34" i="25"/>
  <c r="G16" i="25"/>
  <c r="G22" i="25"/>
  <c r="C8" i="72"/>
  <c r="C11" i="70"/>
  <c r="C7" i="64"/>
  <c r="C7" i="57"/>
  <c r="C7" i="56"/>
  <c r="C7" i="69"/>
  <c r="C8" i="55"/>
  <c r="C8" i="54"/>
  <c r="C8" i="52"/>
  <c r="G8" i="52"/>
  <c r="F8" i="52"/>
  <c r="G8" i="53"/>
  <c r="C8" i="53"/>
  <c r="C9" i="51"/>
  <c r="C9" i="50"/>
  <c r="C7" i="68"/>
  <c r="C7" i="49"/>
  <c r="C7" i="48"/>
  <c r="C7" i="47"/>
  <c r="C6" i="14"/>
  <c r="G6" i="12"/>
  <c r="C6" i="12"/>
  <c r="C7" i="46"/>
  <c r="C8" i="45"/>
  <c r="C7" i="44"/>
  <c r="C8" i="43"/>
  <c r="J10" i="8"/>
  <c r="E8" i="10"/>
  <c r="C7" i="42"/>
  <c r="C6" i="41"/>
  <c r="C6" i="9"/>
  <c r="M16" i="66"/>
  <c r="C7" i="67"/>
  <c r="C8" i="7"/>
  <c r="C28" i="5"/>
  <c r="C10" i="5"/>
  <c r="D8" i="4"/>
  <c r="D31" i="4"/>
  <c r="C8" i="38"/>
  <c r="G23" i="2"/>
  <c r="F7" i="1"/>
  <c r="C11" i="23"/>
  <c r="A14" i="24"/>
  <c r="A24" i="24"/>
  <c r="D8" i="19"/>
  <c r="G11" i="25"/>
  <c r="D9" i="3"/>
  <c r="C23" i="2"/>
  <c r="D97" i="8"/>
  <c r="D57" i="8"/>
  <c r="T28" i="24"/>
  <c r="T26" i="24"/>
  <c r="T25" i="24"/>
  <c r="B35" i="5"/>
  <c r="F21" i="25" s="1"/>
  <c r="D81" i="8"/>
  <c r="T18" i="24"/>
  <c r="D109" i="8"/>
  <c r="D61" i="8"/>
  <c r="I27" i="66"/>
  <c r="J27" i="66"/>
  <c r="D12" i="19"/>
  <c r="M17" i="66"/>
  <c r="M27" i="66" s="1"/>
  <c r="D110" i="8"/>
  <c r="B38" i="72"/>
  <c r="C12" i="10"/>
  <c r="G16" i="24"/>
  <c r="G24" i="24" s="1"/>
  <c r="H16" i="24"/>
  <c r="H24" i="24" s="1"/>
  <c r="H30" i="24" s="1"/>
  <c r="I16" i="24"/>
  <c r="J16" i="24"/>
  <c r="J24" i="24" s="1"/>
  <c r="J30" i="24" s="1"/>
  <c r="K16" i="24"/>
  <c r="L16" i="24"/>
  <c r="L24" i="24" s="1"/>
  <c r="L30" i="24" s="1"/>
  <c r="M16" i="24"/>
  <c r="N24" i="24"/>
  <c r="N30" i="24" s="1"/>
  <c r="O16" i="24"/>
  <c r="P16" i="24"/>
  <c r="P24" i="24" s="1"/>
  <c r="P30" i="24" s="1"/>
  <c r="F16" i="24"/>
  <c r="F24" i="24" s="1"/>
  <c r="F30" i="24" s="1"/>
  <c r="C16" i="24"/>
  <c r="D24" i="24"/>
  <c r="D30" i="24" s="1"/>
  <c r="R24" i="24"/>
  <c r="R30" i="24" s="1"/>
  <c r="A30" i="24"/>
  <c r="B61" i="4"/>
  <c r="F36" i="25"/>
  <c r="D63" i="8"/>
  <c r="D122" i="8"/>
  <c r="D73" i="8"/>
  <c r="D59" i="8"/>
  <c r="D56" i="8"/>
  <c r="F34" i="25"/>
  <c r="D19" i="8"/>
  <c r="D13" i="8"/>
  <c r="D80" i="8"/>
  <c r="G33" i="25"/>
  <c r="D13" i="10"/>
  <c r="F33" i="25" s="1"/>
  <c r="G18" i="25"/>
  <c r="B13" i="7"/>
  <c r="F18" i="25" s="1"/>
  <c r="D13" i="19"/>
  <c r="D48" i="8"/>
  <c r="D44" i="8"/>
  <c r="D42" i="8"/>
  <c r="C10" i="10"/>
  <c r="G27" i="25"/>
  <c r="C9" i="9"/>
  <c r="L16" i="66"/>
  <c r="C9" i="3"/>
  <c r="A1" i="38"/>
  <c r="B42" i="72"/>
  <c r="B8" i="72"/>
  <c r="B7" i="64"/>
  <c r="B11" i="70"/>
  <c r="B7" i="57"/>
  <c r="A15" i="60"/>
  <c r="A8" i="60"/>
  <c r="A7" i="62"/>
  <c r="B7" i="56"/>
  <c r="B7" i="69"/>
  <c r="B8" i="55"/>
  <c r="B8" i="54"/>
  <c r="B8" i="52"/>
  <c r="F8" i="53"/>
  <c r="B8" i="53"/>
  <c r="B9" i="51"/>
  <c r="B9" i="50"/>
  <c r="B7" i="68"/>
  <c r="B7" i="49"/>
  <c r="B7" i="48"/>
  <c r="B7" i="47"/>
  <c r="B6" i="14"/>
  <c r="F6" i="12"/>
  <c r="B6" i="12"/>
  <c r="B7" i="46"/>
  <c r="D10" i="8"/>
  <c r="B8" i="45"/>
  <c r="B7" i="44"/>
  <c r="B8" i="43"/>
  <c r="D8" i="10"/>
  <c r="B7" i="42"/>
  <c r="B6" i="41"/>
  <c r="B6" i="9"/>
  <c r="D11" i="67"/>
  <c r="B7" i="67"/>
  <c r="B8" i="7"/>
  <c r="C8" i="4"/>
  <c r="B28" i="5"/>
  <c r="B10" i="5"/>
  <c r="C31" i="4"/>
  <c r="B8" i="38"/>
  <c r="B11" i="23"/>
  <c r="H6" i="1"/>
  <c r="A6" i="23"/>
  <c r="A4" i="19"/>
  <c r="C8" i="19"/>
  <c r="H5" i="24"/>
  <c r="F11" i="25"/>
  <c r="A8" i="25"/>
  <c r="A1" i="72"/>
  <c r="A1" i="70"/>
  <c r="A1" i="62"/>
  <c r="A1" i="60"/>
  <c r="A1" i="64"/>
  <c r="A1" i="57"/>
  <c r="A1" i="56"/>
  <c r="A1" i="69"/>
  <c r="A1" i="55"/>
  <c r="A1" i="54"/>
  <c r="A1" i="52"/>
  <c r="A1" i="53"/>
  <c r="A1" i="65"/>
  <c r="A1" i="51"/>
  <c r="A1" i="50"/>
  <c r="A1" i="68"/>
  <c r="A1" i="49"/>
  <c r="A1" i="48"/>
  <c r="A1" i="47"/>
  <c r="A1" i="14"/>
  <c r="A1" i="12"/>
  <c r="A1" i="46"/>
  <c r="A1" i="45"/>
  <c r="A1" i="44"/>
  <c r="A1" i="43"/>
  <c r="A1" i="10"/>
  <c r="A1" i="42"/>
  <c r="A1" i="41"/>
  <c r="A1" i="9"/>
  <c r="A1" i="66"/>
  <c r="A1" i="67"/>
  <c r="A1" i="7"/>
  <c r="A1" i="5"/>
  <c r="A1" i="4"/>
  <c r="A1" i="3"/>
  <c r="A1" i="2"/>
  <c r="A1" i="1"/>
  <c r="A1" i="23"/>
  <c r="A1" i="24"/>
  <c r="A1" i="19"/>
  <c r="D78" i="8"/>
  <c r="E17" i="10"/>
  <c r="D17" i="10"/>
  <c r="G21" i="25"/>
  <c r="C12" i="57"/>
  <c r="D26" i="19" s="1"/>
  <c r="B12" i="57"/>
  <c r="C26" i="19" s="1"/>
  <c r="B10" i="56"/>
  <c r="C25" i="19" s="1"/>
  <c r="C10" i="56"/>
  <c r="D25" i="19" s="1"/>
  <c r="D23" i="19"/>
  <c r="B10" i="69"/>
  <c r="C23" i="19" s="1"/>
  <c r="C16" i="55"/>
  <c r="D21" i="19" s="1"/>
  <c r="B16" i="55"/>
  <c r="C21" i="19" s="1"/>
  <c r="C16" i="54"/>
  <c r="D19" i="19" s="1"/>
  <c r="B16" i="54"/>
  <c r="C19" i="19" s="1"/>
  <c r="F15" i="52"/>
  <c r="C17" i="19" s="1"/>
  <c r="B15" i="52"/>
  <c r="C16" i="19" s="1"/>
  <c r="C15" i="52"/>
  <c r="D16" i="19" s="1"/>
  <c r="F19" i="53"/>
  <c r="D11" i="65"/>
  <c r="D13" i="65"/>
  <c r="D14" i="65"/>
  <c r="D15" i="65"/>
  <c r="D10" i="65"/>
  <c r="D9" i="65"/>
  <c r="D9" i="19"/>
  <c r="B26" i="50"/>
  <c r="G56" i="25"/>
  <c r="F56" i="25"/>
  <c r="C10" i="49"/>
  <c r="G54" i="25" s="1"/>
  <c r="B10" i="49"/>
  <c r="F54" i="25" s="1"/>
  <c r="G53" i="25"/>
  <c r="F53" i="25"/>
  <c r="G51" i="25"/>
  <c r="F51" i="25"/>
  <c r="G50" i="25"/>
  <c r="F50" i="25"/>
  <c r="G48" i="25"/>
  <c r="B11" i="14"/>
  <c r="F48" i="25" s="1"/>
  <c r="B13" i="46"/>
  <c r="F38" i="25" s="1"/>
  <c r="C15" i="43"/>
  <c r="B15" i="43"/>
  <c r="G36" i="25"/>
  <c r="G37" i="25"/>
  <c r="B15" i="45"/>
  <c r="F37" i="25" s="1"/>
  <c r="C13" i="46"/>
  <c r="G38" i="25" s="1"/>
  <c r="D126" i="8"/>
  <c r="D121" i="8"/>
  <c r="D96" i="8"/>
  <c r="D95" i="8"/>
  <c r="D94" i="8"/>
  <c r="D74" i="8"/>
  <c r="D70" i="8"/>
  <c r="D41" i="8"/>
  <c r="D39" i="8"/>
  <c r="D38" i="8"/>
  <c r="A1" i="8"/>
  <c r="D1" i="25"/>
  <c r="C21" i="10"/>
  <c r="C20" i="10"/>
  <c r="C19" i="10"/>
  <c r="C18" i="10"/>
  <c r="C9" i="10"/>
  <c r="C11" i="10"/>
  <c r="E22" i="10"/>
  <c r="D22" i="10"/>
  <c r="B8" i="67"/>
  <c r="F24" i="25" s="1"/>
  <c r="E23" i="67"/>
  <c r="F23" i="67"/>
  <c r="E24" i="67"/>
  <c r="E25" i="67"/>
  <c r="E26" i="67"/>
  <c r="E27" i="67"/>
  <c r="E28" i="67"/>
  <c r="F24" i="67"/>
  <c r="F25" i="67"/>
  <c r="F26" i="67"/>
  <c r="F27" i="67"/>
  <c r="F28" i="67"/>
  <c r="G15" i="25"/>
  <c r="B11" i="38"/>
  <c r="F15" i="25" s="1"/>
  <c r="F19" i="25" s="1"/>
  <c r="B13" i="41"/>
  <c r="F27" i="25" s="1"/>
  <c r="G43" i="25"/>
  <c r="C11" i="42"/>
  <c r="G28" i="25" s="1"/>
  <c r="B11" i="42"/>
  <c r="F28" i="25" s="1"/>
  <c r="C17" i="9"/>
  <c r="C13" i="9"/>
  <c r="B17" i="9"/>
  <c r="B13" i="9"/>
  <c r="B9" i="9"/>
  <c r="C27" i="23"/>
  <c r="C10" i="64"/>
  <c r="D28" i="19" s="1"/>
  <c r="B10" i="64"/>
  <c r="C28" i="19" s="1"/>
  <c r="G39" i="25"/>
  <c r="F35" i="25" l="1"/>
  <c r="C19" i="9"/>
  <c r="G26" i="25" s="1"/>
  <c r="G35" i="25"/>
  <c r="L33" i="24"/>
  <c r="F39" i="25"/>
  <c r="B63" i="4"/>
  <c r="C14" i="19"/>
  <c r="C12" i="19"/>
  <c r="C9" i="19"/>
  <c r="C11" i="19" s="1"/>
  <c r="N33" i="24"/>
  <c r="F22" i="25"/>
  <c r="G25" i="25"/>
  <c r="G29" i="25" s="1"/>
  <c r="D11" i="19"/>
  <c r="P33" i="24"/>
  <c r="D14" i="19"/>
  <c r="H33" i="24"/>
  <c r="B40" i="23"/>
  <c r="F44" i="25"/>
  <c r="D29" i="2"/>
  <c r="H29" i="2"/>
  <c r="R27" i="2"/>
  <c r="S27" i="2" s="1"/>
  <c r="R25" i="2"/>
  <c r="S25" i="2" s="1"/>
  <c r="G55" i="25"/>
  <c r="G57" i="25" s="1"/>
  <c r="B19" i="9"/>
  <c r="F26" i="25" s="1"/>
  <c r="D53" i="65"/>
  <c r="T16" i="24"/>
  <c r="T24" i="24" s="1"/>
  <c r="T30" i="24" s="1"/>
  <c r="G44" i="25"/>
  <c r="C24" i="24"/>
  <c r="C30" i="24" s="1"/>
  <c r="C33" i="24" s="1"/>
  <c r="F55" i="25"/>
  <c r="F57" i="25" s="1"/>
  <c r="G40" i="25"/>
  <c r="F40" i="25" l="1"/>
  <c r="F46" i="25" s="1"/>
  <c r="F58" i="25" s="1"/>
  <c r="K29" i="2"/>
  <c r="K30" i="2" s="1"/>
  <c r="C15" i="19"/>
  <c r="C18" i="19" s="1"/>
  <c r="C20" i="19" s="1"/>
  <c r="C22" i="19" s="1"/>
  <c r="C24" i="19" s="1"/>
  <c r="C27" i="19" s="1"/>
  <c r="C30" i="19" s="1"/>
  <c r="D15" i="19"/>
  <c r="D18" i="19" s="1"/>
  <c r="D20" i="19" s="1"/>
  <c r="D22" i="19" s="1"/>
  <c r="D24" i="19" s="1"/>
  <c r="D27" i="19" s="1"/>
  <c r="G46" i="25"/>
  <c r="G58" i="25" s="1"/>
  <c r="H58" i="25" s="1"/>
  <c r="G14" i="25"/>
  <c r="G19" i="25" s="1"/>
  <c r="G30" i="25" s="1"/>
  <c r="C40" i="23" l="1"/>
  <c r="D27" i="66" l="1"/>
  <c r="F27" i="66"/>
  <c r="L18" i="66"/>
  <c r="L25" i="66"/>
  <c r="L24" i="66"/>
  <c r="L26" i="66"/>
  <c r="H24" i="66"/>
  <c r="H26" i="66"/>
  <c r="L22" i="66"/>
  <c r="K27" i="66"/>
  <c r="L23" i="66"/>
  <c r="L21" i="66"/>
  <c r="H23" i="66"/>
  <c r="H25" i="66"/>
  <c r="L27" i="66" l="1"/>
  <c r="F25" i="25" s="1"/>
  <c r="F29" i="25" s="1"/>
  <c r="F30" i="25" s="1"/>
  <c r="I58" i="25" s="1"/>
  <c r="H27" i="6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rvalloud</author>
  </authors>
  <commentList>
    <comment ref="E9" authorId="0" shapeId="0" xr:uid="{00000000-0006-0000-1F00-000001000000}">
      <text>
        <r>
          <rPr>
            <b/>
            <sz val="9"/>
            <color indexed="81"/>
            <rFont val="Tahoma"/>
            <family val="2"/>
          </rPr>
          <t>rvalloud:</t>
        </r>
        <r>
          <rPr>
            <sz val="9"/>
            <color indexed="81"/>
            <rFont val="Tahoma"/>
            <family val="2"/>
          </rPr>
          <t xml:space="preserve">
se resto 42007732 (devoluciones) de 1055900062 (desc concedidos) pero estos dos se debian sumar</t>
        </r>
      </text>
    </comment>
  </commentList>
</comments>
</file>

<file path=xl/sharedStrings.xml><?xml version="1.0" encoding="utf-8"?>
<sst xmlns="http://schemas.openxmlformats.org/spreadsheetml/2006/main" count="1961" uniqueCount="1250">
  <si>
    <t>NOTA 1 – DESCRIPCIÓN DE LA NATURALEZA Y DEL NEGOCIO DE LA COMPAÑÍA</t>
  </si>
  <si>
    <t>NOTA 2 - RESUMEN DE LAS PRINCIPALES POLÍTICAS CONTABLES</t>
  </si>
  <si>
    <t>Total</t>
  </si>
  <si>
    <t>La composición de la cuenta es la siguiente:</t>
  </si>
  <si>
    <t>Concepto</t>
  </si>
  <si>
    <t>A  Total Cartera no Vencida</t>
  </si>
  <si>
    <t>Normal</t>
  </si>
  <si>
    <t>En Gestión de Cobro</t>
  </si>
  <si>
    <t>En Gestión de Cobro Judicial</t>
  </si>
  <si>
    <t>B. Total Cartera Vencida</t>
  </si>
  <si>
    <t>Observaciones</t>
  </si>
  <si>
    <t>Criterios de Clasificación utilizados</t>
  </si>
  <si>
    <t>El rubro de otros créditos se compone como sigue:</t>
  </si>
  <si>
    <t>Anticipo Impuesto a la Renta</t>
  </si>
  <si>
    <t xml:space="preserve">Total </t>
  </si>
  <si>
    <t>Los bienes de cambio están compuestos de la siguiente manera:</t>
  </si>
  <si>
    <t>INDICE</t>
  </si>
  <si>
    <t>Nota 1</t>
  </si>
  <si>
    <t>Nota 2</t>
  </si>
  <si>
    <t>Nota 3</t>
  </si>
  <si>
    <t>Nota 4</t>
  </si>
  <si>
    <t>Nota 5</t>
  </si>
  <si>
    <t>Nota 6</t>
  </si>
  <si>
    <t>Nota 7</t>
  </si>
  <si>
    <t>Nota 8</t>
  </si>
  <si>
    <t>Nota 9</t>
  </si>
  <si>
    <t>Nota 10</t>
  </si>
  <si>
    <t>Nota 11</t>
  </si>
  <si>
    <t>Nota 12</t>
  </si>
  <si>
    <t>Nota 13</t>
  </si>
  <si>
    <t>Nota 14</t>
  </si>
  <si>
    <t>Nota 15</t>
  </si>
  <si>
    <t>Nota 16</t>
  </si>
  <si>
    <t>Resumen de las principales políticas contables</t>
  </si>
  <si>
    <t>Otros créditos</t>
  </si>
  <si>
    <t>Patrimonio Neto</t>
  </si>
  <si>
    <t>d.   Efectivo y equivalentes de efectivo</t>
  </si>
  <si>
    <t>Reserva de revalúo</t>
  </si>
  <si>
    <t>Resultados acumulados</t>
  </si>
  <si>
    <t xml:space="preserve"> </t>
  </si>
  <si>
    <t>Impuesto a la renta</t>
  </si>
  <si>
    <t>Aporte para</t>
  </si>
  <si>
    <t>aumento de capital</t>
  </si>
  <si>
    <t>Pagos efectuados a proveedores y empleados</t>
  </si>
  <si>
    <t>Efectivo generado por las operaciones</t>
  </si>
  <si>
    <t>Flujo neto de efectivo de actividades operativas</t>
  </si>
  <si>
    <t>Flujo neto de efectivo de actividades de inversión</t>
  </si>
  <si>
    <t>Efectivo al final del periodo</t>
  </si>
  <si>
    <t>EVPN</t>
  </si>
  <si>
    <t xml:space="preserve">Estado de Resultados </t>
  </si>
  <si>
    <t>Estado de Evolución del Patrimonio Neto</t>
  </si>
  <si>
    <t>Retención Impuesto al Valor agregado</t>
  </si>
  <si>
    <t>Bajas</t>
  </si>
  <si>
    <t>Subtotal</t>
  </si>
  <si>
    <t>Ventas</t>
  </si>
  <si>
    <t>No corrientes</t>
  </si>
  <si>
    <t>Corrientes</t>
  </si>
  <si>
    <t>(nuevas cuentas a incluir)</t>
  </si>
  <si>
    <t>Remuneraciones y cargas sociales a pagar</t>
  </si>
  <si>
    <t>Impuestos a pagar</t>
  </si>
  <si>
    <t>Provisiones</t>
  </si>
  <si>
    <t>Diferencia transitoria por conversión</t>
  </si>
  <si>
    <t>Interés minoritario</t>
  </si>
  <si>
    <t>Utilidad bruta</t>
  </si>
  <si>
    <t>Resultado extraordinario neto de impuesto a la renta</t>
  </si>
  <si>
    <t>Resultado sobre actividades discontinuadas neto de impuesto a la renta</t>
  </si>
  <si>
    <t>Utilidad neta por acción ordinaria</t>
  </si>
  <si>
    <t>Resultado ordinario antes del impuesto a la renta</t>
  </si>
  <si>
    <t>Saldo reestructurado</t>
  </si>
  <si>
    <t>Capital suscripto e integrado</t>
  </si>
  <si>
    <t>Primas de emisión</t>
  </si>
  <si>
    <t>Reserva de revalúo técnico</t>
  </si>
  <si>
    <t>Reserva legal</t>
  </si>
  <si>
    <t>Reserva facultativa</t>
  </si>
  <si>
    <t>Interes Minoritario</t>
  </si>
  <si>
    <t>Integración del capital social</t>
  </si>
  <si>
    <t>Revalúo de activos fijos</t>
  </si>
  <si>
    <t>Revalúo técnico</t>
  </si>
  <si>
    <t>Resultado del año</t>
  </si>
  <si>
    <t>Desafectación de la reserva de revalúo técnico</t>
  </si>
  <si>
    <t>Intereses pagados</t>
  </si>
  <si>
    <t>Ventas de bienes de uso</t>
  </si>
  <si>
    <t>Intereses cobrados sobre inversiones</t>
  </si>
  <si>
    <t>Dividendos pagados</t>
  </si>
  <si>
    <t>Aportes de capital recibidos</t>
  </si>
  <si>
    <t>(Disminución) Incremento neto de efectivo</t>
  </si>
  <si>
    <t>Efecto estimado de la diferencia de cambio sobre el saldo de efectivo</t>
  </si>
  <si>
    <t>Efectivo al principio del año</t>
  </si>
  <si>
    <t>Mercaderías</t>
  </si>
  <si>
    <t>Gastos pagados por adelantado</t>
  </si>
  <si>
    <t>Composición Cartera Vencida</t>
  </si>
  <si>
    <t>Detallar cartera vencida y no vencida por clientes locales, extranjeros y partes relacionadas</t>
  </si>
  <si>
    <t>b.   Uso de estimaciones contables</t>
  </si>
  <si>
    <t>c.   Moneda extranjera</t>
  </si>
  <si>
    <t>Activos</t>
  </si>
  <si>
    <t>Indicar moneda</t>
  </si>
  <si>
    <t>Pasivos</t>
  </si>
  <si>
    <t>Posición neta</t>
  </si>
  <si>
    <t>Inversiones temporales</t>
  </si>
  <si>
    <t>Cuentas por pagar comerciales</t>
  </si>
  <si>
    <t>Préstamos a corto plazo</t>
  </si>
  <si>
    <t>Otros proveedores del exterior</t>
  </si>
  <si>
    <t>Proveedores locales</t>
  </si>
  <si>
    <t>Total cuentas a pagar por comerciales</t>
  </si>
  <si>
    <t>Bonos bursátiles</t>
  </si>
  <si>
    <t>Vencimiento</t>
  </si>
  <si>
    <t>Tipo de garantía</t>
  </si>
  <si>
    <t>Tipo de Garantía</t>
  </si>
  <si>
    <t>Intereses deudas bursátiles a pagar</t>
  </si>
  <si>
    <t>Propiedad, planta y equipo</t>
  </si>
  <si>
    <t>Activos intangibles</t>
  </si>
  <si>
    <t>Inversiones</t>
  </si>
  <si>
    <t>(Detallar bienes de uso)</t>
  </si>
  <si>
    <t>(Detallar activos intangibles)</t>
  </si>
  <si>
    <t>(Detallar Inversiones</t>
  </si>
  <si>
    <t>Total general</t>
  </si>
  <si>
    <t>Goodwill</t>
  </si>
  <si>
    <t>BG</t>
  </si>
  <si>
    <t>Porción corriente de la deuda a largo plazo</t>
  </si>
  <si>
    <t>Préstamos bancarios</t>
  </si>
  <si>
    <t>Intereses bancarios a pagar</t>
  </si>
  <si>
    <t>Intereses bursatiles a pagar</t>
  </si>
  <si>
    <t>Sueldo y otras remuneraciones a pagar</t>
  </si>
  <si>
    <t>Aportes y retenciones a pagar</t>
  </si>
  <si>
    <t>Remuneraciones al personal superior a pagar</t>
  </si>
  <si>
    <t>Previsiones para contingencias/Indemnizaciones y despidos</t>
  </si>
  <si>
    <t>Otros ingresos diferidos (detallar cuenta)</t>
  </si>
  <si>
    <t>Otros ingresos diferidos</t>
  </si>
  <si>
    <t>ER</t>
  </si>
  <si>
    <t>a  Reserva de revalúo</t>
  </si>
  <si>
    <t>b Reserva legal</t>
  </si>
  <si>
    <t>c Reservas estatutarias</t>
  </si>
  <si>
    <t>d Reservas facultativas</t>
  </si>
  <si>
    <t>Resultado de ejercicios anteriores</t>
  </si>
  <si>
    <t>(Detallar cuenta)</t>
  </si>
  <si>
    <t>Resultado del ejercicio actual</t>
  </si>
  <si>
    <t>Costo de ventas</t>
  </si>
  <si>
    <t>Otros ingresos</t>
  </si>
  <si>
    <t>Resultado operativo</t>
  </si>
  <si>
    <t>Ingresos Financieros netos</t>
  </si>
  <si>
    <t>Total ingresos financieros</t>
  </si>
  <si>
    <t>Gastos Financieros netos</t>
  </si>
  <si>
    <t>Resultado de inversiones en asociadas</t>
  </si>
  <si>
    <t>Resultado participación minoritaria</t>
  </si>
  <si>
    <t>Resumen de las principales políticas contables: a modo referencial, se incluyen las siguientes revelaciones de políticas contables en estados financieros de uso general que podrá ser tenida en consideración por las sociedades emisoras para la preparación de este capítulo de los estados financieros:</t>
  </si>
  <si>
    <t>La preparación de los presentes estados financieros requiere que la Gerencia de la sociedad realice estimaciones y evaluaciones que afectan el monto de los activos y pasivos registrados y contingentes, como así también los ingresos y egresos registrados en el ejercicio.  Los resultados reales futuros pueden diferir de las estimaciones y evaluaciones realizadas a la fecha de preparación de los presentes estados financieros.</t>
  </si>
  <si>
    <t>Las diferencias de cambio originadas por fluctuaciones en los tipos de cambio producidos entre las fechas de concertación de las operaciones y su liquidación o valuación al cierre del ejercicio, son reconocidas en resultados.</t>
  </si>
  <si>
    <t>f. Previsión para cuentas de dudoso cobro/incobrables</t>
  </si>
  <si>
    <t>e.   Inversiones</t>
  </si>
  <si>
    <t>Los activos disponibles para la venta representan bienes que fueron desafectados de la actividad productiva y se mantienen con el único objetivo de ser vendidos.  Los mismos se valúan, sin amortizar, al menor entre el valor de mercado de los mismos y su costo (valor libro) al momento de su designación como disponibles para la venta.</t>
  </si>
  <si>
    <t>Las previsiones para desvalorización y deterioro de inventarios han sido estimadas tomando como base la valorización del stock deteriorado existente al cierre del ejercicio.</t>
  </si>
  <si>
    <t>Los intangibles se exponen a su costo incurrido menos las correspondientes amortizaciones acumuladas al cierre del año.</t>
  </si>
  <si>
    <t>El saldo de esta cuenta representa la diferencia entre el valor pagado y el valor razonable de los activos netos adquiridos por la operación de compra de la subsidiaria – Compañía XX.</t>
  </si>
  <si>
    <t>A los efectos de la determinación del monto recuperable, anualmente se efectúa una evaluación del mismo sobre la base de los flujos netos descontados.  En caso que dichos flujos descontados superen el valor contable se procederá al registro de la correspondiente desvalorización del Goodwill.</t>
  </si>
  <si>
    <t>Las estimaciones sobre los flujos de fondos netos son realizadas por la Gerencia sobre la base de las mejores estimaciones disponibles al momento de la preparación de los presentes estados financieros.  Tal como lo establece la NIF 13 emitida por el Consejo de Contadores Públicos del Paraguay, el Goodwill no se amortiza, sino se afecta a resultados por su deterioro según la NIF 18.</t>
  </si>
  <si>
    <t>Los ingresos y egresos son reconocidos en función de su devengamiento.</t>
  </si>
  <si>
    <t xml:space="preserve">El impuesto a la renta que se carga a los resultados del año se basa en la utilidad contable antes de este concepto, ajustada por las partidas que la ley incluye o excluye para la determinación de la utilidad gravable a la que se aplica la tasa legal vigente del impuesto y por el reconocimiento del cargo o el ingreso originado por la aplicación del impuesto diferido, si los hubiere. </t>
  </si>
  <si>
    <t>En caso de que la sociedad cuente con Fideicomisos vigentes, deberá exponer claramente en notas a los Estados Financieros, dentro del rubro correspondiente al cual pertenece el bien que ha sido objeto del fideicomiso, ya sea “Créditos/Inventarios u otros activos”, restando al valor del rubro perteneciente, al igual que en la constitución de Fideicomisos de Garantía.</t>
  </si>
  <si>
    <t>Deberá indicarse además los datos del contrato de fideicomiso, del fiduciario, monto, vencimiento. En caso de emisiones a través de un Patrimonio Autónomo, registradas en la CNV, deberán agregar los datos de registro, destino de los fondos, calificación de riesgo si lo tuviere.</t>
  </si>
  <si>
    <t>Seguidos en general para cuantificar, valuar y exponer los hechos y bienes económicos en los estados financieros y que fueran relevantes para el lector de los mismos.</t>
  </si>
  <si>
    <t>Simbología según ISO 4217</t>
  </si>
  <si>
    <t>Miles de G.</t>
  </si>
  <si>
    <t>Deberá mencionarse cualquier  tipo de restricción sobre la distribución de utilidades como ser restricciones estatutarias o de entes reguladores y asambleas.</t>
  </si>
  <si>
    <t>Gastos administrativos</t>
  </si>
  <si>
    <t>Los siguientes bienes de propiedad de la Sociedad han sido hipotecados y prendados en garantía de obligaciones financieras.</t>
  </si>
  <si>
    <t>Tipo de Activo</t>
  </si>
  <si>
    <t>Datos  del activo gravado</t>
  </si>
  <si>
    <t>Importe (indicar   moneda)</t>
  </si>
  <si>
    <t>A favor de</t>
  </si>
  <si>
    <t>La Sociedad calcula la utilidad (pérdida) neta por acción sobre la base de la utilidad (pérdida) del año y … acciones ordinarias (aclarar las características de las acciones) de valor nominal G/ …cada una con derecho a … voto por acción (aclarar el derecho de voto que tiene cada tipo de acción).</t>
  </si>
  <si>
    <t xml:space="preserve">(Esta nota deberá ser incluida cuando en el estado de resultados se haga mención a una cuenta de carácter general o cuyo nombre no permita una adecuada identificación de la naturaleza del gasto y su importe sea significativo) </t>
  </si>
  <si>
    <t xml:space="preserve">El rubro está compuesto de la siguiente forma: </t>
  </si>
  <si>
    <t>Gastos de Ventas</t>
  </si>
  <si>
    <t>Gastos Administrativos</t>
  </si>
  <si>
    <t>a.   Bases de contabilización (Según NIF Bases de preparación de los Estados Financieros)</t>
  </si>
  <si>
    <t>Nota</t>
  </si>
  <si>
    <t>ACTIVOS</t>
  </si>
  <si>
    <t>Activos Corrientes</t>
  </si>
  <si>
    <t>Efectivo y equivalente de efectivo</t>
  </si>
  <si>
    <t>Cuentas por cobrar comerciales</t>
  </si>
  <si>
    <t>Inventarios</t>
  </si>
  <si>
    <t>Activos no Corrientes</t>
  </si>
  <si>
    <t xml:space="preserve">Otros créditos </t>
  </si>
  <si>
    <t>Costo histórico revaluado al inicio del año</t>
  </si>
  <si>
    <t>Adquisiciones</t>
  </si>
  <si>
    <t>Revalúo del año</t>
  </si>
  <si>
    <t>Valor de origen revaluado al final del año</t>
  </si>
  <si>
    <t>Depreciación acumulada revaluada al inicio del año</t>
  </si>
  <si>
    <t>Depreciación del año</t>
  </si>
  <si>
    <t>Bajas de depreciaciones acumuladas</t>
  </si>
  <si>
    <t>Revalúo depreciación acumulada del año</t>
  </si>
  <si>
    <t>Depreciación acumulada revaluada al final del año</t>
  </si>
  <si>
    <t>Instalaciones</t>
  </si>
  <si>
    <t>Rodados</t>
  </si>
  <si>
    <t>Equipos de computación</t>
  </si>
  <si>
    <t>Muebles y útiles</t>
  </si>
  <si>
    <t>Maquinarias y herramientas</t>
  </si>
  <si>
    <t>En miles de guaraníes</t>
  </si>
  <si>
    <t>Activos disponibles para la venta</t>
  </si>
  <si>
    <t>Total Activos</t>
  </si>
  <si>
    <t>PASIVOS Y PATRIMONIO NETO</t>
  </si>
  <si>
    <t>Pasivos corrientes</t>
  </si>
  <si>
    <t>Total Pasivos Corrientes</t>
  </si>
  <si>
    <t xml:space="preserve">Préstamos a corto plazo </t>
  </si>
  <si>
    <t>Otros pasivos corrientes</t>
  </si>
  <si>
    <t>Pasivos no corrientes</t>
  </si>
  <si>
    <t xml:space="preserve">Préstamos a largo plazo </t>
  </si>
  <si>
    <t>Deudas bursátiles</t>
  </si>
  <si>
    <t>Capital integrado</t>
  </si>
  <si>
    <t>Reservas estatutarias</t>
  </si>
  <si>
    <t>Reservas facultatitvas</t>
  </si>
  <si>
    <t>Total Patrimonio Neto</t>
  </si>
  <si>
    <t>Total Pasivos y Patrimonio Neto</t>
  </si>
  <si>
    <t xml:space="preserve"> (En miles de guaraníes)</t>
  </si>
  <si>
    <t>Gastos de ventas</t>
  </si>
  <si>
    <t>Miles de guaraníes</t>
  </si>
  <si>
    <t xml:space="preserve">Gastos administrativos </t>
  </si>
  <si>
    <t>Otros gastos</t>
  </si>
  <si>
    <t>Otros ingresos  y gastos operativos</t>
  </si>
  <si>
    <t>Contado</t>
  </si>
  <si>
    <t>Crédito</t>
  </si>
  <si>
    <t>Existencia inicial del inventario</t>
  </si>
  <si>
    <t>+ Compra de bienes y servicios</t>
  </si>
  <si>
    <t>+ Costo de producción</t>
  </si>
  <si>
    <t>- Existencia final de inventario</t>
  </si>
  <si>
    <t>Total costo de ventas</t>
  </si>
  <si>
    <t>Total gastos financieros</t>
  </si>
  <si>
    <t xml:space="preserve">Utilidad/(Pérdida) neta del año </t>
  </si>
  <si>
    <t>(En miles de guaraníes)</t>
  </si>
  <si>
    <t>Pagos de impuesto a la renta</t>
  </si>
  <si>
    <t>FLUJO DE EFECTIVO DE ACTIVIDADES OPERATIVAS</t>
  </si>
  <si>
    <t xml:space="preserve">FLUJO DE EFECTIVO DE ACTIVIDADES DE INVERSIÓN </t>
  </si>
  <si>
    <t>Aquisición de inversiones</t>
  </si>
  <si>
    <t>FLUJO DE EFECTIVO DE ACTIVIDADES DE FINANCIACIÓN</t>
  </si>
  <si>
    <t>Aporte de los propietarios</t>
  </si>
  <si>
    <t>Balance General</t>
  </si>
  <si>
    <t>Estado de Flujos de Efectivo</t>
  </si>
  <si>
    <t>EFE</t>
  </si>
  <si>
    <t>Se considerarán dentro del concepto de efectivo los saldos en efectivo, disponibilidades en cuentas bancarias y toda inversión de muy alta liquidez, con vencimiento originalmente pactado no superior a tres meses.</t>
  </si>
  <si>
    <t>Las previsiones para cuentas de dudoso cobro se determinan al cierre de cada ejercicio y/o mensualmente sobre la base del estudio de la cartera de créditos realizado con el objeto de determinar la porción no recuperable de las cuentas a cobrar. Las previsiones para cuentas de dudoso cobro se determinan mensualmente de acuerdo con el siguiente esquema de cálculo: (Indicar política de constitución de previsiones)</t>
  </si>
  <si>
    <t>NOTA 4 - INVERSIONES TEMPORALES</t>
  </si>
  <si>
    <t>NOTA  5 – CUENTAS POR COBRAR COMERCIALES</t>
  </si>
  <si>
    <t>Situación</t>
  </si>
  <si>
    <t>NOTA 6 - OTROS CRÉDITOS</t>
  </si>
  <si>
    <t>Deudores en gestión judicial</t>
  </si>
  <si>
    <t>Cheques rechazados</t>
  </si>
  <si>
    <t>Deudores por ventas locales</t>
  </si>
  <si>
    <t>BALANCE GENERAL</t>
  </si>
  <si>
    <t>ESTADO DE RESULTADOS</t>
  </si>
  <si>
    <t>Comparativo con igual período del año anterior</t>
  </si>
  <si>
    <t>Comparativo con igual periodo del año anterior</t>
  </si>
  <si>
    <t xml:space="preserve">Anticipos a proveedores </t>
  </si>
  <si>
    <t>NOTA 7 – INVENTARIOS</t>
  </si>
  <si>
    <t>(-) Previsión para desvalorización y deterioro de inventario</t>
  </si>
  <si>
    <t>Total activos corrientes</t>
  </si>
  <si>
    <t>Nota 8 - INVERSIONES EN ASOCIADAS</t>
  </si>
  <si>
    <t>Las inversiones en sociedades donde no se ejerce control se describen a continuación</t>
  </si>
  <si>
    <t>Total del resultado</t>
  </si>
  <si>
    <t>En miles de guaranies</t>
  </si>
  <si>
    <t>a) Datos sobre la sociedad:</t>
  </si>
  <si>
    <t>Total valuación patrimonial proporcional</t>
  </si>
  <si>
    <t>NOTA 9 - PROPIEDADES, PLANTA Y EQUIPO - NETO</t>
  </si>
  <si>
    <t>Totales</t>
  </si>
  <si>
    <t>Obs.:</t>
  </si>
  <si>
    <t>Incluir aclaraciones en los siguientes casos:</t>
  </si>
  <si>
    <t>Ver adicionalmente Norma de Información Financiera N° 11 Propiedades, planta y equipo</t>
  </si>
  <si>
    <t>1.      Cuando los bienes de uso tienen alguna restricción sobre su utilización, como por ejemplo cuando están garantizando obligaciones. En su caso también hacer referencia a la nota correspondiente.</t>
  </si>
  <si>
    <t>2.      Cuando exista alguna previsión por desvalorización (“deterioro”), detallando la evolución de la misma en el transcurso del año.</t>
  </si>
  <si>
    <t>3.      Si se están capitalizando intereses al costo de bienes de uso. En su caso deberá aclararse la tasa utilizada para la capitalización.</t>
  </si>
  <si>
    <t>NOTA 10 – ACTIVOS DISPONIBLES PARA LA VENTA</t>
  </si>
  <si>
    <t>NOTA 11 – ACTIVOS INTANGIBLES</t>
  </si>
  <si>
    <t>NOTA 12 – GOODWILL</t>
  </si>
  <si>
    <t>Total activos no corrientes</t>
  </si>
  <si>
    <t>NOTA 13 – CUENTAS POR PAGAR COMERCIALES</t>
  </si>
  <si>
    <t>NOTA 14 –  PRESTAMOS A CORTO Y LARGO PLAZO</t>
  </si>
  <si>
    <t>Moneda</t>
  </si>
  <si>
    <t>NOTA 15 – PORCION CORRIENTE DE LA DEUDA A LARGO PLAZO</t>
  </si>
  <si>
    <t>NOTA 16 – REMUNERACIONES Y CARGAS SOCIALES A PAGAR</t>
  </si>
  <si>
    <t>(b) Obligaciones garantizadas por valor de guaraníes………..</t>
  </si>
  <si>
    <t>NOTA 18 -  PROVISIONES</t>
  </si>
  <si>
    <t>NOTA 19 – OTROS PASIVOS CORRIENTES y NO CORRIENTES</t>
  </si>
  <si>
    <t>Total pasivos no corrientes</t>
  </si>
  <si>
    <t>NOTA 20 – CAPITAL INTEGRADO</t>
  </si>
  <si>
    <t>NOTA 21 – RESERVAS</t>
  </si>
  <si>
    <t>NOTA 23 –  RESULTADOS ACUMULADOS</t>
  </si>
  <si>
    <t>NOTA 24 –  INTERES MINORITARIO</t>
  </si>
  <si>
    <t>NOTA 25 –  VENTAS</t>
  </si>
  <si>
    <t>NOTA 26 - COSTO DE VENTAS</t>
  </si>
  <si>
    <t>NOTA 27 - GASTOS</t>
  </si>
  <si>
    <t>Nota 28 - Otros Ingresos y gastos operativos</t>
  </si>
  <si>
    <t>NOTA 29 - INGRESOS Y GASTOS FINANCIEROS NETOS</t>
  </si>
  <si>
    <t>NOTA 17 –  IMPUESTOS A PAGAR</t>
  </si>
  <si>
    <t>Nota 31 - Resultado participación minoritaria</t>
  </si>
  <si>
    <t>Nota 33 - Resultado extraordinario neto de impuesto a la renta</t>
  </si>
  <si>
    <t>Nota 32 - IMPUESTO A LA RENTA</t>
  </si>
  <si>
    <t>Nota 34 - Resultado sobre actividades discontinuadas neto de impuesto a la renta</t>
  </si>
  <si>
    <t>- Impuesto a la renta</t>
  </si>
  <si>
    <t>NOTA 35- UTILIDAD (PÉRDIDA) NETA DEL AÑO Y POR ACCION ORDINARIA</t>
  </si>
  <si>
    <t>Descripción de la naturaleza y del negocio de la Sociedad</t>
  </si>
  <si>
    <t>Propiedades, planta y equipo</t>
  </si>
  <si>
    <t>Nota 17</t>
  </si>
  <si>
    <t>Nota 18</t>
  </si>
  <si>
    <t>Nota 19</t>
  </si>
  <si>
    <t>Nota 20</t>
  </si>
  <si>
    <t>Prestamos a largo plazo</t>
  </si>
  <si>
    <t>Otros pasivos  no corrientes</t>
  </si>
  <si>
    <t>Otros pasivos no corrientes</t>
  </si>
  <si>
    <t>Nota 21</t>
  </si>
  <si>
    <t>Nota 22</t>
  </si>
  <si>
    <t>Nota 23</t>
  </si>
  <si>
    <t>Nota 24</t>
  </si>
  <si>
    <t>Nota 25</t>
  </si>
  <si>
    <t>Nota 26</t>
  </si>
  <si>
    <t>Nota 27</t>
  </si>
  <si>
    <t>Nota 28</t>
  </si>
  <si>
    <t>Otros ingresos y gastos operativos</t>
  </si>
  <si>
    <t>Nota 29</t>
  </si>
  <si>
    <t>Nota 30</t>
  </si>
  <si>
    <t>Nota 31</t>
  </si>
  <si>
    <t>Nota 32</t>
  </si>
  <si>
    <t>Nota 33</t>
  </si>
  <si>
    <t>Nota 34</t>
  </si>
  <si>
    <t>Nota 35</t>
  </si>
  <si>
    <t>Utilidad/(Pérdida) neta del año</t>
  </si>
  <si>
    <t>REF.</t>
  </si>
  <si>
    <t>Los activos y pasivos en moneda extranjera se valúan a los tipos de cambio vigentes a la fecha de cierre del ejercicio.</t>
  </si>
  <si>
    <t>Obs.: En caso de la existencia de saldos y transacciones con partes relacionadas, la información que corresponda a ser expuesta por la sociedad, se ajustará  a lo requerido por la Norma de Información Financiera N° 7 Revelaciones de partes relacionadas.</t>
  </si>
  <si>
    <t>Activos gravados</t>
  </si>
  <si>
    <t>Nota 36</t>
  </si>
  <si>
    <t>NOTA 36 - ACTIVOS GRAVADOS</t>
  </si>
  <si>
    <t>Indice</t>
  </si>
  <si>
    <t xml:space="preserve">NOTA 37 - CONTINGENCIAS Y COMPROMISOS </t>
  </si>
  <si>
    <t>Contingencias y compromisos</t>
  </si>
  <si>
    <t>Nota 37</t>
  </si>
  <si>
    <t>Hechos posteriores</t>
  </si>
  <si>
    <t>Nota 38</t>
  </si>
  <si>
    <t>Nota 39</t>
  </si>
  <si>
    <t>NOTA 38 - IMPUESTO DIFERIDO</t>
  </si>
  <si>
    <t>La Sociedad contabiliza el impuesto a la renta por el método de lo diferido, método del pasivo. El mencionado método establece la determinación de activos o pasivos impositivos diferidos netos basados en las diferencias temporales y temporarias, con cargo a la línea Impuesto a la renta del Estado de resultados.</t>
  </si>
  <si>
    <t>El siguiente cuadro detalla las diferencias temporales a la tasa del impuesto a los efectos de determinación del impuesto diferido:</t>
  </si>
  <si>
    <t xml:space="preserve">Activos y pasivos impositivos diferidos: </t>
  </si>
  <si>
    <t>Caja y Bancos</t>
  </si>
  <si>
    <t>Previsión para deudores incobrables</t>
  </si>
  <si>
    <t>Bienes de uso</t>
  </si>
  <si>
    <t>Previsión del pasivo</t>
  </si>
  <si>
    <t>Deudas comerciales y bancarias</t>
  </si>
  <si>
    <t>Bienes de cambio</t>
  </si>
  <si>
    <t xml:space="preserve">Sub - total  </t>
  </si>
  <si>
    <t xml:space="preserve">Previsión para impuestos diferidos netos </t>
  </si>
  <si>
    <t>Total activo/pasivo impositivo diferido neto antes de quebrantos</t>
  </si>
  <si>
    <t>Quebranto impositivo</t>
  </si>
  <si>
    <t xml:space="preserve">Al … de …........... 20X2 la Sociedad constituyó una provisión para impuesto a la renta de Guaraníes  …... (Al … de …...............20X1:  Guaraníes  …....) / (La Sociedad no ha constituido provisión para impuesto a la renta, debido a que a esa fecha la misma generó renta imponible que fue compensada con quebrantos impositivos acumulados a esa fecha). </t>
  </si>
  <si>
    <t>NOTA 39 - HECHOS POSTERIORES</t>
  </si>
  <si>
    <t>Obs.: Cambios en políticas contables y su efecto sobre los estados financieros, como así también las modificaciones o ajustes de la información de ejercicios anteriores deben exponerse conforme a lo requerido por la Norma de Información Financiera N° 6 Utilidad o pérdida neta por el período, errores fundamentales y cambios en políticas contables</t>
  </si>
  <si>
    <t xml:space="preserve">Obs.: Esta información debe estar ajustada  a lo requerido por la Norma de Información Financiera N° 5 Contingencias y sucesos que ocurren después de la fecha del balance. </t>
  </si>
  <si>
    <t>Las notas que se acompañan forman parte integrante de estos estados.</t>
  </si>
  <si>
    <t>Inversión en asociadas</t>
  </si>
  <si>
    <t>Propiedades, planta y equipo/Bienes de uso, neto</t>
  </si>
  <si>
    <t>Total Pasivos</t>
  </si>
  <si>
    <t>Reservas facultativas</t>
  </si>
  <si>
    <t>Gastos financieros -  neto</t>
  </si>
  <si>
    <t>Ingresos financieros - neto</t>
  </si>
  <si>
    <t>Resultados ordinarios antes de impuesto a la renta y participación minoritaria</t>
  </si>
  <si>
    <t>Resultado neto de actividades ordinarias</t>
  </si>
  <si>
    <t>Gastos financieros - neto</t>
  </si>
  <si>
    <t>Impuesto diferido</t>
  </si>
  <si>
    <t>Ganancias reservadas</t>
  </si>
  <si>
    <t>Cambio en política contable (Nota….)</t>
  </si>
  <si>
    <t>Cobranzas efectuadas a clientes</t>
  </si>
  <si>
    <t>Otros ingresos y (egresos) - neto</t>
  </si>
  <si>
    <t>Adquisición de bienes de uso</t>
  </si>
  <si>
    <t>(Disminución) Incremento de préstamos</t>
  </si>
  <si>
    <t>Flujo neto de efectivo de actividades de financiamiento</t>
  </si>
  <si>
    <t>Informacion General</t>
  </si>
  <si>
    <t>Otras Notas de los Estados Financieros</t>
  </si>
  <si>
    <t>USD</t>
  </si>
  <si>
    <t>PYG</t>
  </si>
  <si>
    <t>Bancos Locales - Moneda extranjera Dólares</t>
  </si>
  <si>
    <t>Bancos Locales - Moneda local Guaraníes</t>
  </si>
  <si>
    <t>NOTA 3 - EFECTIVO Y EQUIVALENTE DE EFECTIVO</t>
  </si>
  <si>
    <t>Inversiones en Titulos del Sistema Financiero Local - Moneda Extranjera Dólares</t>
  </si>
  <si>
    <t>Inversiones en Titulos del Sistema Financiero Local - Moneda Local Guaraníes</t>
  </si>
  <si>
    <t>Moneda Local Guaraníes</t>
  </si>
  <si>
    <t>Moneda Extranjera Dólares</t>
  </si>
  <si>
    <t>Menos Previsiones</t>
  </si>
  <si>
    <t>Nombre de Sociedad</t>
  </si>
  <si>
    <t>RUC</t>
  </si>
  <si>
    <t>Enero</t>
  </si>
  <si>
    <t>Febrero</t>
  </si>
  <si>
    <t>Marzo</t>
  </si>
  <si>
    <t>Abril</t>
  </si>
  <si>
    <t>Mayo</t>
  </si>
  <si>
    <t>Junio</t>
  </si>
  <si>
    <t>Julio</t>
  </si>
  <si>
    <t>Agosto</t>
  </si>
  <si>
    <t>Septiembre</t>
  </si>
  <si>
    <t>Octubre</t>
  </si>
  <si>
    <t>Noviembre</t>
  </si>
  <si>
    <t>Diciembre</t>
  </si>
  <si>
    <t>Total Patrimonio neto</t>
  </si>
  <si>
    <t>Periodo</t>
  </si>
  <si>
    <t>a) Datos sobre la inversión:</t>
  </si>
  <si>
    <t>Cantidad de acciones</t>
  </si>
  <si>
    <t>Total Inversión</t>
  </si>
  <si>
    <t>Participación sobre los votos (%)</t>
  </si>
  <si>
    <t>Participación sobre el Patrimonio Neto (%)</t>
  </si>
  <si>
    <t>Resultado sobre inversiones</t>
  </si>
  <si>
    <t>Total Inversión (miles de Gs)</t>
  </si>
  <si>
    <t>&lt;-- Indicar Monto</t>
  </si>
  <si>
    <t>Valor neto contable</t>
  </si>
  <si>
    <t>Proveedores - Entidades Relacionadas</t>
  </si>
  <si>
    <t>Indicación de Moneda</t>
  </si>
  <si>
    <t>AED</t>
  </si>
  <si>
    <t>Dírham de los Emiratos Árabes Unidos</t>
  </si>
  <si>
    <t>AFN</t>
  </si>
  <si>
    <t>ALL</t>
  </si>
  <si>
    <t>AMD</t>
  </si>
  <si>
    <t>ANG</t>
  </si>
  <si>
    <t>AOA</t>
  </si>
  <si>
    <t>ARS</t>
  </si>
  <si>
    <t>AUD</t>
  </si>
  <si>
    <t>AWG</t>
  </si>
  <si>
    <t>AZN</t>
  </si>
  <si>
    <t>BAM</t>
  </si>
  <si>
    <t>BBD</t>
  </si>
  <si>
    <t>BDT</t>
  </si>
  <si>
    <t>BGN</t>
  </si>
  <si>
    <t>BHD</t>
  </si>
  <si>
    <t>BIF</t>
  </si>
  <si>
    <t>BMD</t>
  </si>
  <si>
    <t>BND</t>
  </si>
  <si>
    <t>BOB</t>
  </si>
  <si>
    <t>BRL</t>
  </si>
  <si>
    <t>BSD</t>
  </si>
  <si>
    <t>BTN</t>
  </si>
  <si>
    <t>BWP</t>
  </si>
  <si>
    <t>BYN</t>
  </si>
  <si>
    <t>BZD</t>
  </si>
  <si>
    <t>CAD</t>
  </si>
  <si>
    <t>CDF</t>
  </si>
  <si>
    <t>CHF</t>
  </si>
  <si>
    <t>CLP</t>
  </si>
  <si>
    <t>CNY</t>
  </si>
  <si>
    <t>COP</t>
  </si>
  <si>
    <t>CRC</t>
  </si>
  <si>
    <t>CUC</t>
  </si>
  <si>
    <t>CUP</t>
  </si>
  <si>
    <t>CVE</t>
  </si>
  <si>
    <t>CZK</t>
  </si>
  <si>
    <t>DJF</t>
  </si>
  <si>
    <t>DKK</t>
  </si>
  <si>
    <t>DOP</t>
  </si>
  <si>
    <t>DZD</t>
  </si>
  <si>
    <t>EGP</t>
  </si>
  <si>
    <t>ERN</t>
  </si>
  <si>
    <t>ETB</t>
  </si>
  <si>
    <t>EUR</t>
  </si>
  <si>
    <t>FJD</t>
  </si>
  <si>
    <t>FKP</t>
  </si>
  <si>
    <t>GBP</t>
  </si>
  <si>
    <t>GEL</t>
  </si>
  <si>
    <t>GHS</t>
  </si>
  <si>
    <t>GIP</t>
  </si>
  <si>
    <t>GMD</t>
  </si>
  <si>
    <t>GNF</t>
  </si>
  <si>
    <t>GTQ</t>
  </si>
  <si>
    <t>GYD</t>
  </si>
  <si>
    <t>HKD</t>
  </si>
  <si>
    <t>HNL</t>
  </si>
  <si>
    <t>HRK</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</si>
  <si>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</si>
  <si>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</si>
  <si>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</si>
  <si>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</si>
  <si>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</si>
  <si>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</si>
  <si>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</si>
  <si>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</si>
  <si>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</si>
  <si>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</si>
  <si>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</si>
  <si>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</si>
  <si>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</si>
  <si>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</si>
  <si>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</si>
  <si>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</si>
  <si>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</si>
  <si>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</si>
  <si>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</si>
  <si>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</si>
  <si>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</si>
  <si>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</si>
  <si>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</si>
  <si>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</si>
  <si>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</si>
  <si>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LYD</t>
  </si>
  <si>
    <t>MAD</t>
  </si>
  <si>
    <t>MDL</t>
  </si>
  <si>
    <t>MGA</t>
  </si>
  <si>
    <t>MKD</t>
  </si>
  <si>
    <t>MMK</t>
  </si>
  <si>
    <t>MNT</t>
  </si>
  <si>
    <t>MOP</t>
  </si>
  <si>
    <t>MRU</t>
  </si>
  <si>
    <t>MUR</t>
  </si>
  <si>
    <t>MVR</t>
  </si>
  <si>
    <t>MWK</t>
  </si>
  <si>
    <t>MXN</t>
  </si>
  <si>
    <t>MYR</t>
  </si>
  <si>
    <t>MZN</t>
  </si>
  <si>
    <t>NAD</t>
  </si>
  <si>
    <t>NGN</t>
  </si>
  <si>
    <t>NIO</t>
  </si>
  <si>
    <t>NOK</t>
  </si>
  <si>
    <t>NPR</t>
  </si>
  <si>
    <t>NZD</t>
  </si>
  <si>
    <t>Dólar neozelandés</t>
  </si>
  <si>
    <t>OMR</t>
  </si>
  <si>
    <t>PAB</t>
  </si>
  <si>
    <t>PEN</t>
  </si>
  <si>
    <t>PGK</t>
  </si>
  <si>
    <t>PHP</t>
  </si>
  <si>
    <t>PKR</t>
  </si>
  <si>
    <t>PLN</t>
  </si>
  <si>
    <t>QAR</t>
  </si>
  <si>
    <t>RON</t>
  </si>
  <si>
    <t>RSD</t>
  </si>
  <si>
    <t>RUB</t>
  </si>
  <si>
    <t>RWF</t>
  </si>
  <si>
    <t>SAR</t>
  </si>
  <si>
    <t>SBD</t>
  </si>
  <si>
    <t>SCR</t>
  </si>
  <si>
    <t>SDG</t>
  </si>
  <si>
    <t>SEK</t>
  </si>
  <si>
    <t>SGD</t>
  </si>
  <si>
    <t>SHP</t>
  </si>
  <si>
    <t>SLL</t>
  </si>
  <si>
    <t>SOS</t>
  </si>
  <si>
    <t>SRD</t>
  </si>
  <si>
    <t>STN</t>
  </si>
  <si>
    <t>SVC</t>
  </si>
  <si>
    <t>SYP</t>
  </si>
  <si>
    <t>SZL</t>
  </si>
  <si>
    <t>THB</t>
  </si>
  <si>
    <t>TJS</t>
  </si>
  <si>
    <t>TMT</t>
  </si>
  <si>
    <t>TND</t>
  </si>
  <si>
    <t>TOP</t>
  </si>
  <si>
    <t>TRY</t>
  </si>
  <si>
    <t>TTD</t>
  </si>
  <si>
    <t>TWD</t>
  </si>
  <si>
    <t>TZS</t>
  </si>
  <si>
    <t>UAH</t>
  </si>
  <si>
    <t>UGX</t>
  </si>
  <si>
    <t>Dólar estadounidense</t>
  </si>
  <si>
    <t>UYU</t>
  </si>
  <si>
    <t>UZS</t>
  </si>
  <si>
    <t>VND</t>
  </si>
  <si>
    <t>VUV</t>
  </si>
  <si>
    <t>WST</t>
  </si>
  <si>
    <t>XAF</t>
  </si>
  <si>
    <t>XCD</t>
  </si>
  <si>
    <t>XDR</t>
  </si>
  <si>
    <t>XOF</t>
  </si>
  <si>
    <t>XPF</t>
  </si>
  <si>
    <t>YER</t>
  </si>
  <si>
    <t>ZAR</t>
  </si>
  <si>
    <t>ZMW</t>
  </si>
  <si>
    <t>Afgani</t>
  </si>
  <si>
    <t>Lek</t>
  </si>
  <si>
    <t>Dram armenio</t>
  </si>
  <si>
    <t>Florín antillano neerlandés</t>
  </si>
  <si>
    <t>Kwanza</t>
  </si>
  <si>
    <t>Peso argentino</t>
  </si>
  <si>
    <t>Dólar australiano</t>
  </si>
  <si>
    <t>Florín arubeño</t>
  </si>
  <si>
    <t>Manat azerbaiyano</t>
  </si>
  <si>
    <t>Marco convertible</t>
  </si>
  <si>
    <t>Dólar de Barbados</t>
  </si>
  <si>
    <t>Taka</t>
  </si>
  <si>
    <t>Lev búlgaro</t>
  </si>
  <si>
    <t>Dinar bareiní</t>
  </si>
  <si>
    <t>Franco de Burundi</t>
  </si>
  <si>
    <t>Dólar bermudeño</t>
  </si>
  <si>
    <t>Dólar de Brunéi</t>
  </si>
  <si>
    <t>Boliviano</t>
  </si>
  <si>
    <t>BOV</t>
  </si>
  <si>
    <t>MVDOL</t>
  </si>
  <si>
    <t>Real brasileño</t>
  </si>
  <si>
    <t>Dólar bahameño</t>
  </si>
  <si>
    <t>Ngultrum</t>
  </si>
  <si>
    <t>Pula</t>
  </si>
  <si>
    <t>Rublo bielorruso</t>
  </si>
  <si>
    <t>Dólar beliceño</t>
  </si>
  <si>
    <t>Dólar canadiense</t>
  </si>
  <si>
    <t>Franco congoleño</t>
  </si>
  <si>
    <t>CHE</t>
  </si>
  <si>
    <t>Euro WIR</t>
  </si>
  <si>
    <t>Franco suizo</t>
  </si>
  <si>
    <t>CHW</t>
  </si>
  <si>
    <t>Franco WIR</t>
  </si>
  <si>
    <t>CLF</t>
  </si>
  <si>
    <t>Unidad de fomento</t>
  </si>
  <si>
    <t>Peso chileno</t>
  </si>
  <si>
    <t>Yuan chino</t>
  </si>
  <si>
    <t>Peso colombiano</t>
  </si>
  <si>
    <t>COU</t>
  </si>
  <si>
    <t>Unidad de valor real</t>
  </si>
  <si>
    <t>Colón costarricense</t>
  </si>
  <si>
    <t>Peso convertible</t>
  </si>
  <si>
    <t>Peso cubano</t>
  </si>
  <si>
    <t>Escudo caboverdiano</t>
  </si>
  <si>
    <t>Corona checa</t>
  </si>
  <si>
    <t>Franco yibutiano</t>
  </si>
  <si>
    <t>Corona danesa</t>
  </si>
  <si>
    <t>Peso dominicano</t>
  </si>
  <si>
    <t>Dinar argelino</t>
  </si>
  <si>
    <t>Libra egipcia</t>
  </si>
  <si>
    <t>Nakfa</t>
  </si>
  <si>
    <t>Birr etíope</t>
  </si>
  <si>
    <t>Euro</t>
  </si>
  <si>
    <t>Dólar fiyiano</t>
  </si>
  <si>
    <t>Libra malvinense</t>
  </si>
  <si>
    <t>Libra esterlina</t>
  </si>
  <si>
    <t>Lari</t>
  </si>
  <si>
    <t>Cedi ghanés</t>
  </si>
  <si>
    <t>Libra de Gibraltar</t>
  </si>
  <si>
    <t>Dalasi</t>
  </si>
  <si>
    <t>Franco guineano</t>
  </si>
  <si>
    <t>Quetzal</t>
  </si>
  <si>
    <t>Dólar guyanés</t>
  </si>
  <si>
    <t>Dólar de Hong Kong</t>
  </si>
  <si>
    <t>Lempira</t>
  </si>
  <si>
    <t>Kuna</t>
  </si>
  <si>
    <t>Gourde</t>
  </si>
  <si>
    <t>Forinto</t>
  </si>
  <si>
    <t>Rupia indonesia</t>
  </si>
  <si>
    <t>Nuevo shéquel israelí</t>
  </si>
  <si>
    <t>Rupia india</t>
  </si>
  <si>
    <t>Dinar iraquí</t>
  </si>
  <si>
    <t>Rial iraní</t>
  </si>
  <si>
    <t>Corona islandesa</t>
  </si>
  <si>
    <t>Dólar jamaiquino</t>
  </si>
  <si>
    <t>Dinar jordano</t>
  </si>
  <si>
    <t>Yen</t>
  </si>
  <si>
    <t>Chelín keniano</t>
  </si>
  <si>
    <t>Som</t>
  </si>
  <si>
    <t>Riel</t>
  </si>
  <si>
    <t>Franco comorense</t>
  </si>
  <si>
    <t>Won norcoreano</t>
  </si>
  <si>
    <t>Won</t>
  </si>
  <si>
    <t>Dinar kuwaití</t>
  </si>
  <si>
    <t>Dólar de las Islas Caimán</t>
  </si>
  <si>
    <t>Tenge</t>
  </si>
  <si>
    <t>Kip</t>
  </si>
  <si>
    <t>Libra libanesa</t>
  </si>
  <si>
    <t>Rupia de Sri Lanka</t>
  </si>
  <si>
    <t>Dólar liberiano</t>
  </si>
  <si>
    <t>Loti</t>
  </si>
  <si>
    <t>Dinar libio</t>
  </si>
  <si>
    <t>Dírham marroquí</t>
  </si>
  <si>
    <t>Leu moldavo</t>
  </si>
  <si>
    <t>Ariary malgache</t>
  </si>
  <si>
    <t>Denar</t>
  </si>
  <si>
    <t>Kyat</t>
  </si>
  <si>
    <t>Tugrik</t>
  </si>
  <si>
    <t>Pataca</t>
  </si>
  <si>
    <t>Uguiya</t>
  </si>
  <si>
    <t>Rupia de Mauricio</t>
  </si>
  <si>
    <t>Rufiyaa</t>
  </si>
  <si>
    <t>Kwacha</t>
  </si>
  <si>
    <t>Peso mexicano</t>
  </si>
  <si>
    <t>MXV</t>
  </si>
  <si>
    <t>Unidad de Inversión (UDI) mexicana</t>
  </si>
  <si>
    <t>Ringgit malayo</t>
  </si>
  <si>
    <t>Metical mozambiqueño</t>
  </si>
  <si>
    <t>Dólar namibio</t>
  </si>
  <si>
    <t>Naira</t>
  </si>
  <si>
    <t>Córdoba</t>
  </si>
  <si>
    <t>Corona noruega</t>
  </si>
  <si>
    <t>Rupia nepalí</t>
  </si>
  <si>
    <t>Rial omaní</t>
  </si>
  <si>
    <t>Balboa</t>
  </si>
  <si>
    <t>Sol</t>
  </si>
  <si>
    <t>Kina</t>
  </si>
  <si>
    <t>Peso filipino</t>
  </si>
  <si>
    <t>Rupia pakistaní</t>
  </si>
  <si>
    <t>Złoty</t>
  </si>
  <si>
    <t>Guaraní</t>
  </si>
  <si>
    <t>Riyal qatarí</t>
  </si>
  <si>
    <t>Leu rumano</t>
  </si>
  <si>
    <t>Dinar serbio</t>
  </si>
  <si>
    <t>Rublo ruso</t>
  </si>
  <si>
    <t>Franco ruandés</t>
  </si>
  <si>
    <t>Riyal saudí</t>
  </si>
  <si>
    <t>Dólar de las Islas Salomón</t>
  </si>
  <si>
    <t>Rupia seychelense</t>
  </si>
  <si>
    <t>Dinar sudanés</t>
  </si>
  <si>
    <t>Corona sueca</t>
  </si>
  <si>
    <t>Dólar de Singapur</t>
  </si>
  <si>
    <t>Libra de Santa Elena</t>
  </si>
  <si>
    <t>Leone</t>
  </si>
  <si>
    <t>Chelín somalí</t>
  </si>
  <si>
    <t>Dólar surinamés</t>
  </si>
  <si>
    <t>SSP</t>
  </si>
  <si>
    <t>Libra sursudanesa</t>
  </si>
  <si>
    <t>Dobra</t>
  </si>
  <si>
    <t>Colon Salvadoreño</t>
  </si>
  <si>
    <t>Libra siria</t>
  </si>
  <si>
    <t>Lilangeni</t>
  </si>
  <si>
    <t>Baht</t>
  </si>
  <si>
    <t>Somoni tayiko</t>
  </si>
  <si>
    <t>Manat turcomano</t>
  </si>
  <si>
    <t>Dinar tunecino</t>
  </si>
  <si>
    <t>Paʻanga</t>
  </si>
  <si>
    <t>Lira turca</t>
  </si>
  <si>
    <t>Dólar de Trinidad y Tobago</t>
  </si>
  <si>
    <t>Nuevo dólar taiwanés</t>
  </si>
  <si>
    <t>Chelín tanzano</t>
  </si>
  <si>
    <t>Grivna</t>
  </si>
  <si>
    <t>Chelín ugandés</t>
  </si>
  <si>
    <t>USN</t>
  </si>
  <si>
    <t>Dólar estadounidense (Siguiente día)</t>
  </si>
  <si>
    <t>UYI</t>
  </si>
  <si>
    <t>Peso en Unidades Indexadas (Uruguay)</t>
  </si>
  <si>
    <t>Peso uruguayo</t>
  </si>
  <si>
    <t>UYW</t>
  </si>
  <si>
    <t>Unidad Previsional</t>
  </si>
  <si>
    <t>Som uzbeko</t>
  </si>
  <si>
    <t>VES7​</t>
  </si>
  <si>
    <t>Bolívar soberano</t>
  </si>
  <si>
    <t>Dong vietnamita</t>
  </si>
  <si>
    <t>Vatu</t>
  </si>
  <si>
    <t>Tala</t>
  </si>
  <si>
    <t>Franco CFA de África Central</t>
  </si>
  <si>
    <t>XAG</t>
  </si>
  <si>
    <t>Plata (una onza troy)</t>
  </si>
  <si>
    <t>XAU</t>
  </si>
  <si>
    <t>Oro (una onza troy)</t>
  </si>
  <si>
    <t>XBA</t>
  </si>
  <si>
    <t>Unidad compuesta europea (EURCO) (Unidad del mercados de bonos)</t>
  </si>
  <si>
    <t>XBB</t>
  </si>
  <si>
    <t>Unidad Monetaria europea (E.M.U.-6) (Unidad del mercado de bonos)</t>
  </si>
  <si>
    <t>XBC</t>
  </si>
  <si>
    <t>Unidad europea de cuenta 9 (E.U.A.-9) (Unidad del mercado de bonos)</t>
  </si>
  <si>
    <t>XBD</t>
  </si>
  <si>
    <t>Unidad europea de cuenta 17 (E.U.A.-17) (Unidad del mercado de bonos)</t>
  </si>
  <si>
    <t>Dólar del Caribe Oriental</t>
  </si>
  <si>
    <t>Derechos especiales de giro</t>
  </si>
  <si>
    <t>Franco CFA de África Occidental</t>
  </si>
  <si>
    <t>XPD</t>
  </si>
  <si>
    <t>Paladio (una onza troy)</t>
  </si>
  <si>
    <t>Franco CFP</t>
  </si>
  <si>
    <t>XPT</t>
  </si>
  <si>
    <t>Platino (una onza troy)</t>
  </si>
  <si>
    <t>XSU</t>
  </si>
  <si>
    <t>SUCRE</t>
  </si>
  <si>
    <t>XTS</t>
  </si>
  <si>
    <t>Reservado para pruebas</t>
  </si>
  <si>
    <t>XUA</t>
  </si>
  <si>
    <t>Unidad de cuenta BAD</t>
  </si>
  <si>
    <t>XXX</t>
  </si>
  <si>
    <t>Sin divisa</t>
  </si>
  <si>
    <t>Rial yemení</t>
  </si>
  <si>
    <t>Rand</t>
  </si>
  <si>
    <t>Kwacha zambiano</t>
  </si>
  <si>
    <t>ZWL</t>
  </si>
  <si>
    <t>Dólar zimbabuense</t>
  </si>
  <si>
    <t>Fecha Presentación:</t>
  </si>
  <si>
    <t>No Corrientes</t>
  </si>
  <si>
    <t>Las cuentas por pagar comerciales se componen como sigue:</t>
  </si>
  <si>
    <t>Sociedad:</t>
  </si>
  <si>
    <t>Símbolo de Moneda</t>
  </si>
  <si>
    <t>Préstamos de Entidades en el Exterior</t>
  </si>
  <si>
    <t>Préstamos de Entidades Locales</t>
  </si>
  <si>
    <t>Intereses préstamos entidades financieras a pagar</t>
  </si>
  <si>
    <t>(-) Intereses a Devengar</t>
  </si>
  <si>
    <t xml:space="preserve">Otros Pasivos con Entidades relacionadas </t>
  </si>
  <si>
    <t>Importe (miles de Gs)</t>
  </si>
  <si>
    <t>Alquileres a Pagar</t>
  </si>
  <si>
    <t>Honorarios Profesionales a Pagar</t>
  </si>
  <si>
    <t>Servicios Basicos a Pagar</t>
  </si>
  <si>
    <t>Fecha</t>
  </si>
  <si>
    <t>Monto Capital Social</t>
  </si>
  <si>
    <t>Valor Nominal de Acciones</t>
  </si>
  <si>
    <t>Cantidad de Acciones</t>
  </si>
  <si>
    <t>Monto Capital Integrado</t>
  </si>
  <si>
    <t>NOTAS A LOS ESTADOS FINANCIEROS CORRESPONDIENTES AL PERIODO TERMINADO</t>
  </si>
  <si>
    <t xml:space="preserve">Presentadas en forma comparativa con el periodo terminado </t>
  </si>
  <si>
    <t>Ventas linea de negocio 1</t>
  </si>
  <si>
    <t>Local</t>
  </si>
  <si>
    <t>Exterior</t>
  </si>
  <si>
    <t>(nuevas lineas de negocio a incluir)</t>
  </si>
  <si>
    <t>Linea de negocio 1</t>
  </si>
  <si>
    <t>Linea de negocio 2</t>
  </si>
  <si>
    <t>Conceptos</t>
  </si>
  <si>
    <t>Utilidad Neta</t>
  </si>
  <si>
    <t>Cantidad de Acciones Ordinarias en Circulación</t>
  </si>
  <si>
    <t>Utilidad Neta por Acción Ordinaria</t>
  </si>
  <si>
    <t>(nueva cuenta a incluir)</t>
  </si>
  <si>
    <t>ESTADO DE EVOLUCIÓN DEL PATRIMONIO NETO</t>
  </si>
  <si>
    <t>ESTADO DE FLUJOS DE EFECTIVO (Método directo)</t>
  </si>
  <si>
    <t>Composición de la cartera de créditos por ventas</t>
  </si>
  <si>
    <t>Total de la cartera de créditos (A+B)</t>
  </si>
  <si>
    <t>(-) Total Previsiones</t>
  </si>
  <si>
    <t>Monto</t>
  </si>
  <si>
    <t>TOTAL  NETO DE LA CARTERA DE CRÉDITOS</t>
  </si>
  <si>
    <t>De</t>
  </si>
  <si>
    <t>A</t>
  </si>
  <si>
    <t xml:space="preserve">% Previsiones  sobre Cartera </t>
  </si>
  <si>
    <t>Las cuentas a cobrar comerciales a corto plazo se integran como sigue:</t>
  </si>
  <si>
    <t>Las cuentas a cobrar comerciales a largo plazo se integran como sigue:</t>
  </si>
  <si>
    <t>Se indicarán en este rubro todos los créditos a favor de la empresa provenientes de las  ventas de Mercaderías y/o servicios (atendiendo a la actividades ordinarias de  la empresa), separando las ventas locales en moneda nacional y/o extranjera de las ventas fuera del país en moneda nacional  y/o extranjera</t>
  </si>
  <si>
    <t>ACTIVO</t>
  </si>
  <si>
    <t>Total activo</t>
  </si>
  <si>
    <t>PASIVO</t>
  </si>
  <si>
    <t>Préstamos a largo plazo</t>
  </si>
  <si>
    <t>Otros pasivos</t>
  </si>
  <si>
    <t>Total pasivo</t>
  </si>
  <si>
    <t>Compras a ….</t>
  </si>
  <si>
    <t xml:space="preserve">Gastos financieros </t>
  </si>
  <si>
    <t>NOTA 40 - SALDOS Y TRANSACCIONES CON PARTES RELACIONADAS</t>
  </si>
  <si>
    <t>Saldos y transacciones con partes relacionadas</t>
  </si>
  <si>
    <t>Nota 40</t>
  </si>
  <si>
    <t>Índice</t>
  </si>
  <si>
    <t xml:space="preserve">Los estados financieros se han preparado siguiendo los criterios de las Normas de Información Financiera (NIF) emitidas por el Consejo de Contadores Públicos del Paraguay sobre la base de costos históricos, excepto para el caso de activos y pasivos en moneda extranjera  y las propiedades, planta y equipo según se explica en los puntos c ) y k), y no reconocen en forma integral los efectos de la inflación sobre la situación patrimonial y financiera de la sociedad, sobre los resultados de sus operaciones y los flujos de efectivo, en atención a que la corrección monetaria no constituye una práctica contable obligatoria en el Paraguay. 
</t>
  </si>
  <si>
    <r>
      <t xml:space="preserve">De haberse aplicado una corrección monetaria integral de los estados financieros, podrían haber surgido diferencias en la presentación de la situación patrimonial y financiera de la sociedad, en los resultados de sus operaciones y en los flujos de efectivo al ….., y por los ejercicios cerrados el, 31 de ………. de 20X2 y 20X1. Según el índice general de precios del consumo (IPC) publicado por el Banco Central del Paraguay, la inflación fue de 00,0% en el año 20X2 y 00,0% en el año 20X1. </t>
    </r>
    <r>
      <rPr>
        <i/>
        <sz val="9"/>
        <color indexed="8"/>
        <rFont val="Arial"/>
        <family val="2"/>
      </rPr>
      <t>Obs: Datos a incorporar para cierre del ejercicio</t>
    </r>
    <r>
      <rPr>
        <sz val="9"/>
        <color indexed="8"/>
        <rFont val="Arial"/>
        <family val="2"/>
      </rPr>
      <t xml:space="preserve">
</t>
    </r>
  </si>
  <si>
    <t>g. Inventarios</t>
  </si>
  <si>
    <t>h. Activos disponibles para la venta</t>
  </si>
  <si>
    <t>i. Previsiones para desvalorización y deterioro de inventarios</t>
  </si>
  <si>
    <t>j. Propiedades, planta y equipo</t>
  </si>
  <si>
    <t>k. Intangibles</t>
  </si>
  <si>
    <t>l. Goodwill</t>
  </si>
  <si>
    <t>m. Reconocimiento de ingresos y egresos</t>
  </si>
  <si>
    <t>n. Impuesto a la renta</t>
  </si>
  <si>
    <t>o. Restricciones a la distribución de utilidades</t>
  </si>
  <si>
    <t>p. Derechos en Fideicomiso</t>
  </si>
  <si>
    <t>q. Otros principios, prácticas y métodos</t>
  </si>
  <si>
    <t>Gs</t>
  </si>
  <si>
    <t>de la sociedad, como en Bancos de Plaza, en cuentas corrientes y cajas de ahorros, en guaraníes y dólares</t>
  </si>
  <si>
    <t>estadounidenses. Su composición se detalla en el siguiente cuadro:</t>
  </si>
  <si>
    <t>Efectivo</t>
  </si>
  <si>
    <t>Fondo Fijo</t>
  </si>
  <si>
    <t>Fic S.A. de Finanzas</t>
  </si>
  <si>
    <t>ITAU Banco Cta. U$. 35000032/5</t>
  </si>
  <si>
    <t>Banco Continental Cta. U$ 44-27-843980-04</t>
  </si>
  <si>
    <t>Banco Familiar Cta. Cte. 22-1684423</t>
  </si>
  <si>
    <t>B.B.V.A. Cta. U$.  21-215500-01131</t>
  </si>
  <si>
    <t>Banco GNB Cta. U$ 1-063767-020</t>
  </si>
  <si>
    <t>Banco Sudameris SAECA Cta. U$. 30195</t>
  </si>
  <si>
    <t>Pagare Corriente ML</t>
  </si>
  <si>
    <t>Cheque Vale</t>
  </si>
  <si>
    <t>Tarjetas de Créditos</t>
  </si>
  <si>
    <t>Viaticos a Rendir</t>
  </si>
  <si>
    <t>Impuesto al Valor Agregado</t>
  </si>
  <si>
    <t>Inversiones Varias</t>
  </si>
  <si>
    <t>Banco Continental Cta. Gs.</t>
  </si>
  <si>
    <t>Banco de la Nación Argentina Cta. U$ 517542</t>
  </si>
  <si>
    <t xml:space="preserve">Banco Amambay </t>
  </si>
  <si>
    <t>Banco Do Brasil U$</t>
  </si>
  <si>
    <t>Terrenos</t>
  </si>
  <si>
    <t>Equipos de oficina</t>
  </si>
  <si>
    <t>Mejoras en predio Ajeno</t>
  </si>
  <si>
    <t xml:space="preserve">(-) AMORTIZACIÓN ACUMULADA GASTOS DE REORGANIZACIÓN               </t>
  </si>
  <si>
    <t>Nota de Crédito Recibida- Reg.</t>
  </si>
  <si>
    <t>Banco Itaú S.A.</t>
  </si>
  <si>
    <t>Banco Continental S.A.E.C.A.</t>
  </si>
  <si>
    <t>Banco GNB Paraguay S.A.</t>
  </si>
  <si>
    <t>Financiera Solar S.A.E.C.A.</t>
  </si>
  <si>
    <t>Banco do Brasil Gs.</t>
  </si>
  <si>
    <t>Codeudoria Solidaria</t>
  </si>
  <si>
    <t>Banco Itaú S.A. - Intereses</t>
  </si>
  <si>
    <t>Banco Continental- Intereses</t>
  </si>
  <si>
    <t>Banco GNB Paraguay- Intereses</t>
  </si>
  <si>
    <t>Fic S.A. de Finanzas- Intereses</t>
  </si>
  <si>
    <t>Finlatina S.A. de Finanzas- Intereses</t>
  </si>
  <si>
    <t>Financiera Solar S.A.E.C.A.- Intereses</t>
  </si>
  <si>
    <t>Banco do Brasil Gs.- Intereses</t>
  </si>
  <si>
    <t>(-)Banco Itaú S.A. Int. A Devengar</t>
  </si>
  <si>
    <t>(-) Banco Continental Int. A Devengar</t>
  </si>
  <si>
    <t xml:space="preserve">(-) Banco GNB Int. A Devengar </t>
  </si>
  <si>
    <t>(-) Finlatina S.A. de Finanzas Int. A Devengar</t>
  </si>
  <si>
    <t>(-) Financiera Solar S.A.E.C.A. Int. A Devengar</t>
  </si>
  <si>
    <t>(-) Banco do Brasil Gs.Int. A Devengar</t>
  </si>
  <si>
    <t xml:space="preserve">RETENCIONES DE IVA (F122)                                         </t>
  </si>
  <si>
    <t xml:space="preserve">RETENCIONES  IVA/RENTA                                            </t>
  </si>
  <si>
    <t xml:space="preserve">RETENCIONES DEL EXTERIOR RENTA                                    </t>
  </si>
  <si>
    <t xml:space="preserve">RETENCION DEL EXTERIOR IVA                                        </t>
  </si>
  <si>
    <t>IVA A PAGAR</t>
  </si>
  <si>
    <t>d.1. Reservas Facultativas</t>
  </si>
  <si>
    <t>d.2. Otras reservas</t>
  </si>
  <si>
    <t xml:space="preserve">INTERESES GANADOS                                                 </t>
  </si>
  <si>
    <t xml:space="preserve">DESCUENTOS OBTENIDOS                                              </t>
  </si>
  <si>
    <t xml:space="preserve">RESULTADOS POR DIFERENCIA DE CAMBIOS                              </t>
  </si>
  <si>
    <t xml:space="preserve">BONIFICACIONES OBTENIDAS                                          </t>
  </si>
  <si>
    <t xml:space="preserve">GASTOS RECUPERADOS                                                </t>
  </si>
  <si>
    <t xml:space="preserve">OTROS INGRESOS ORDINARIOS                                         </t>
  </si>
  <si>
    <t xml:space="preserve">OTROS INGRESOS EXTRAORDINARIOS                                    </t>
  </si>
  <si>
    <t xml:space="preserve">INTERESES BANCARIOS                                               </t>
  </si>
  <si>
    <t xml:space="preserve">CARTAS DE CREDITO BANCARIA                                        </t>
  </si>
  <si>
    <t xml:space="preserve">INTERESES BONOS BURSATILES                                        </t>
  </si>
  <si>
    <t xml:space="preserve">INTERESES A INVERSORES                                            </t>
  </si>
  <si>
    <t xml:space="preserve">GASTOS BANCARIOS                                                  </t>
  </si>
  <si>
    <t xml:space="preserve">PERDIDA POR DIFERENCIA DE CAMBIO                                  </t>
  </si>
  <si>
    <t>Resultado antes del Impuesto a la Renta</t>
  </si>
  <si>
    <t xml:space="preserve">PRÉSTAMO DE SOCIO ACCIONISTA - Laura Callizo de Sallustro                                 </t>
  </si>
  <si>
    <t>ALBERTO SALLUSTRO MARIN</t>
  </si>
  <si>
    <t>LAURA IVONNE DE SALLUSTRO</t>
  </si>
  <si>
    <t>VALENTINA SALLUSTRO CALLIZO</t>
  </si>
  <si>
    <t>LAURA SALLUSTRO CALLIZO</t>
  </si>
  <si>
    <t>ALEJANDRO SALLUSTRO CALLIZO</t>
  </si>
  <si>
    <t>OCTAVIO SALLUSTRO CALLIZO</t>
  </si>
  <si>
    <t>JUAN PABLO SALLUSTRO CALLIZO</t>
  </si>
  <si>
    <t>Banco Atlas S.A. Cta. U$</t>
  </si>
  <si>
    <t>Banco Rio U$</t>
  </si>
  <si>
    <t>Anticipos a proveedores Locales</t>
  </si>
  <si>
    <t>Anticipos a proveedores del Exterior</t>
  </si>
  <si>
    <t>Anticipo al Personal</t>
  </si>
  <si>
    <t xml:space="preserve">2DA. EMISION INT. BONOS BURSATILES A PAGAR L.P.                  </t>
  </si>
  <si>
    <t xml:space="preserve">2DA. EMISION DE BONOS BURSATILES NO DEVENGADOS L.P.               </t>
  </si>
  <si>
    <t>Banco Itaú S.A. L.P</t>
  </si>
  <si>
    <t>Banco GNB Paraguay S.A. L.P.</t>
  </si>
  <si>
    <t>Dividendos a Pagar</t>
  </si>
  <si>
    <t>Gastos Acumulados a Pagar</t>
  </si>
  <si>
    <t>Prestamos de Socios Accionistas</t>
  </si>
  <si>
    <t>Los 7S S.A. - Prestamo M.E.</t>
  </si>
  <si>
    <t>Transamerica Trader &amp; Investment S.A.</t>
  </si>
  <si>
    <t>NOTA 22 –  DIFERENCIA TRANSITORIA POR CONVERSION</t>
  </si>
  <si>
    <t>Garantía de Alquiler ML</t>
  </si>
  <si>
    <t>Garantía de Alquiler ME</t>
  </si>
  <si>
    <t>Activo</t>
  </si>
  <si>
    <t>Pasivo</t>
  </si>
  <si>
    <t>SHOPPING CENTER SA (SOL)</t>
  </si>
  <si>
    <t xml:space="preserve">SHOPPING CENTER SA (SOL) </t>
  </si>
  <si>
    <t>UNDER ARMOUR</t>
  </si>
  <si>
    <t xml:space="preserve">PENTA SA (MARISCAL) </t>
  </si>
  <si>
    <t>PENTA SA (MARISCAL)</t>
  </si>
  <si>
    <t>ALDO</t>
  </si>
  <si>
    <t>PENTA SA (MARIANO)</t>
  </si>
  <si>
    <t>TIENDA SALLUSTRO</t>
  </si>
  <si>
    <t xml:space="preserve">BLUE TOWER VENTURES PARAGUAY SA (LA GALERIA) </t>
  </si>
  <si>
    <t xml:space="preserve">PINEDO INMOBILIARIA SA (PINEDO) </t>
  </si>
  <si>
    <t xml:space="preserve">STEROMAR SA (MULTIPLAZA) </t>
  </si>
  <si>
    <t>MULTITIENDA SALLUSTRO</t>
  </si>
  <si>
    <t>CENTRO COMERCIAL LAMBARE (LAMBARE)</t>
  </si>
  <si>
    <t>GOROSTIAGA INMOBILIARIA</t>
  </si>
  <si>
    <t>PARQUE 14 Y MEDIO SRL</t>
  </si>
  <si>
    <t>OUTLET SALLUSTRO</t>
  </si>
  <si>
    <t>ARRENDATARIO</t>
  </si>
  <si>
    <t>LOCAL</t>
  </si>
  <si>
    <t>Plazo del Contrato</t>
  </si>
  <si>
    <t>Documentos a Cobrar en Gestion Judicial ML</t>
  </si>
  <si>
    <t>Documentos a Cobrar en Gestion Judicial ME</t>
  </si>
  <si>
    <t>Cheques Rechazados en Gestion Judicial ML</t>
  </si>
  <si>
    <t>Finlatina S.A. de Finanzas GS.</t>
  </si>
  <si>
    <t>Banco Continental S.A.E.C.A. L.P.</t>
  </si>
  <si>
    <t>Banco Continental S.A.E.C.A. - Intereses L.P.</t>
  </si>
  <si>
    <t>Banco Itaú S.A. - Intereses L.P.</t>
  </si>
  <si>
    <t>Banco GNB Paraguay S.A. - Intereses LP.</t>
  </si>
  <si>
    <t>Comisiones a Pagar</t>
  </si>
  <si>
    <t>Aguinaldos a Pagar</t>
  </si>
  <si>
    <t xml:space="preserve">VALLEY NATIONAL BANK CTA. 42289262                                </t>
  </si>
  <si>
    <t>Retención Computables Impuesto a la Renta</t>
  </si>
  <si>
    <t>(-) AMORTIZACIÓN ACUMULADA LICENCIA DE SOFWARE Y MARCAS</t>
  </si>
  <si>
    <t>(-) Banco Nacional de Fomento Int. A Devengar</t>
  </si>
  <si>
    <t>(-) Banco GNB Int. A Devengar L.P.</t>
  </si>
  <si>
    <t>(-) Banco Continental Int. A Devengar L.P.</t>
  </si>
  <si>
    <t>Inversiones en otras empresas</t>
  </si>
  <si>
    <t>Banco Rio S.A.E.C.A.</t>
  </si>
  <si>
    <t>Inversiones Financieras CDA L.P.</t>
  </si>
  <si>
    <t>(-) Banco Rio S.A.E.C.A. Int. De Devengar</t>
  </si>
  <si>
    <t>Fic S.A. de Finanzas L.P.</t>
  </si>
  <si>
    <t>Cheques diferidos recibidos de clientes</t>
  </si>
  <si>
    <t>EDGAR INSFRAN Y FATIMA MICHELAGNOLI DE INSFRAN</t>
  </si>
  <si>
    <t>OFICINA ADMINISTRATIVA</t>
  </si>
  <si>
    <t>DESCUENTO SOBRE VENTAS</t>
  </si>
  <si>
    <t xml:space="preserve">SUELDOS Y OTRAS REMUNERACIONES AL PERSONAL                        </t>
  </si>
  <si>
    <t xml:space="preserve">COMISIONES PAGADAS SOBRE VENTAS                                   </t>
  </si>
  <si>
    <t xml:space="preserve">PUBLICIDAD Y PROPAGANDA                                           </t>
  </si>
  <si>
    <t xml:space="preserve">FLETES PAGADOS                                                    </t>
  </si>
  <si>
    <t xml:space="preserve">HONORARIOS PROFESIONALES VENTAS                                   </t>
  </si>
  <si>
    <t xml:space="preserve">REMUNERACIÓN DE DIRECTORES COMERCIAL                              </t>
  </si>
  <si>
    <t xml:space="preserve">AGUA, LUZ, TELÉFONO E INTERNET                                    </t>
  </si>
  <si>
    <t xml:space="preserve">MOVILIDAD                                                         </t>
  </si>
  <si>
    <t xml:space="preserve">COMBUSTIBLES Y LUBRICANTES                                        </t>
  </si>
  <si>
    <t xml:space="preserve">REPARACIONES Y MANTENIMIENTOS                                     </t>
  </si>
  <si>
    <t xml:space="preserve">SEGUROS PAGADOS                                                   </t>
  </si>
  <si>
    <t xml:space="preserve">UTILES DE OFICINA                                                 </t>
  </si>
  <si>
    <t xml:space="preserve">GASTOS PAGADOS EN EL EXTERIOR                                     </t>
  </si>
  <si>
    <t xml:space="preserve">DONACIONES Y CONTRIBUCIONES                                       </t>
  </si>
  <si>
    <t xml:space="preserve">COMISIONES Y GASTOS BANCARIOS OPERACIONALES                       </t>
  </si>
  <si>
    <t xml:space="preserve">GASTOS DE SEGURIDAD                                               </t>
  </si>
  <si>
    <t xml:space="preserve">GASTOS DE INVENTARIO                                              </t>
  </si>
  <si>
    <t xml:space="preserve">GASTOS GENERALES DE VENTAS                                        </t>
  </si>
  <si>
    <t xml:space="preserve">ALQUILERES                                                        </t>
  </si>
  <si>
    <t xml:space="preserve">BOLSAS                                                            </t>
  </si>
  <si>
    <t xml:space="preserve">OTROS GASTOS DE VENTAS                                            </t>
  </si>
  <si>
    <t xml:space="preserve">REMUNERACIÓN PERSONAL SUPERIOR                                    </t>
  </si>
  <si>
    <t xml:space="preserve">GASTOS DE REPRESENTACIÓN                                          </t>
  </si>
  <si>
    <t xml:space="preserve">HONORARIOS PROFESIONALES                                          </t>
  </si>
  <si>
    <t xml:space="preserve">ÚTILES DE OFICINA                                                 </t>
  </si>
  <si>
    <t xml:space="preserve">IMPUESTOS, PATENTES, TASAS Y OTRAS CONTRIBUCIONES                 </t>
  </si>
  <si>
    <t xml:space="preserve">MULTAS Y SANCIONES                                                </t>
  </si>
  <si>
    <t xml:space="preserve">EXAMEN DE ADMISION IPS                                            </t>
  </si>
  <si>
    <t xml:space="preserve">DEPRECIACION </t>
  </si>
  <si>
    <t xml:space="preserve">AMORTIZACION </t>
  </si>
  <si>
    <t xml:space="preserve">OTROS RESULTADOS NO OPERATIVOS                                    </t>
  </si>
  <si>
    <t>Pagare Corriente ME</t>
  </si>
  <si>
    <t>Cheques Rechazados en Gestion Judicial ME</t>
  </si>
  <si>
    <t>Banco Nacional de Fomento</t>
  </si>
  <si>
    <t>Banco Nacional de Fomento - Intereses</t>
  </si>
  <si>
    <t>(-) FIC S.A. Int. A Devengar</t>
  </si>
  <si>
    <t>(-) FIC S.A. Int. A Devengar L.P.</t>
  </si>
  <si>
    <t>a.1 Reserva de Revalúo</t>
  </si>
  <si>
    <t>a.2 Reserva de Revalúo Técnico</t>
  </si>
  <si>
    <t xml:space="preserve">SUSCRIPCIONES Y CONTRIBUCIONES COMERCIAL                          </t>
  </si>
  <si>
    <t>* Informe de Tasacion sobre Inmueble con finca N° 20.782, y Cta. Cte. Ctral. N° 27-3521-03, del distrito de Luque, de acuerdo a Normas del BCP (SB. SG. N° 00288/2002 y la SB. SG. N° 00019/2015 y las Normas Internacionales de Avaluación IVSC (INTERNACIONAL VALUATION STANDARDS COUNCIL)</t>
  </si>
  <si>
    <t>(*)Inmuebles Revaluo Tecnico</t>
  </si>
  <si>
    <t>SALLUSTRO Y CIA. S.R.L. fue constituida por escritura pública No. 34 de fecha 07 de marzo de 1977, protocolizada por el Escribano</t>
  </si>
  <si>
    <t xml:space="preserve">Ángel Albrech Azarini, inscripta en el Registro Público de Comercio con el No. 193, folio 14 y siguientes del libro seccional respectivo, </t>
  </si>
  <si>
    <t>el 16 marzo de 1977.</t>
  </si>
  <si>
    <t>Posteriormente sus estatutos sociales,  fueron modificados sucesivamente, como  consta en la Escritura pública No 60, de fecha</t>
  </si>
  <si>
    <t xml:space="preserve">13 de diciembre de 1.985, protocolizada por la Escribana Rosa María Beatriz Ruiz de Prieto. </t>
  </si>
  <si>
    <t>Luego modificada por Escritura No. 49 fecha 26 de abril de 1.995, pasada ante Escribano Publico Arsenio Ocampos,  inscripta</t>
  </si>
  <si>
    <t>en el Registro Público de Comercio, con el No. 286, folio 2716 y sgtes.</t>
  </si>
  <si>
    <t>Luego Modificada por Escritura 103 del 16 de Noviembre de 2006 ante Escribano Publico Arsenio Ocampos, inscripta en  el Registro</t>
  </si>
  <si>
    <t>Público de Comercio, Con el No. 126, folio 806 y sgtes.</t>
  </si>
  <si>
    <t xml:space="preserve">Luego Modificada el 23 de Marzo de 2009,  ante Escribana Ana María Mendoza de Acha, Inscripta en el el Registro Público de </t>
  </si>
  <si>
    <t>Comercio con el No. 59, folio 745 y sgtes, de fecha 26 de Marzo de 2009 y  transformada en SALLUSTRO Y CIA S.A., modificada</t>
  </si>
  <si>
    <t xml:space="preserve">totalmente por Escritura Nº 31 del 11 de diciembre de 2012, ante la escribana Ana María Mendoza de Acha, inscripta en el Registro </t>
  </si>
  <si>
    <t>Público de Comercio con el Nº 1603, folio 9630 y sgtes. de fecha 21 de diciembre de 2012.</t>
  </si>
  <si>
    <t>El nuevo Capital Social autorizado queda fijado en la suma de Veintitres mil millones de guaraníes  (Gs. 23.000.000.000),  dividido</t>
  </si>
  <si>
    <t xml:space="preserve">en doscientas mil (230.000), acciones de guaraníes  cien mil (Gs. 100.000), quedando suscriptas e integradas en ciento noventa y </t>
  </si>
  <si>
    <t>dos mil setecientos cuarenta  (192.740),  acciones de  guaraníes cien mil  (Gs. 100.000), c/u. Este aumento de  Capital estuvo</t>
  </si>
  <si>
    <t xml:space="preserve">acompañado de la respectiva modificación de estatutos, en los artículos  Nº 5 y 26,   modificada por Escritura  Nº 63 del 09 de </t>
  </si>
  <si>
    <t>noviembre del 2016, ante la escribana  Ana María Mendoza de Acha , inscripta en el Registro Público de Comercio con el Nº 1,</t>
  </si>
  <si>
    <t>folio 1-9 y sgtes. De fecha 06 de diciembre de 2016.</t>
  </si>
  <si>
    <t>Por escritura pública N° 32 de fecha 16/05/2018, autorizada por la escribana Ana Maria Mendoza de Acha, Reg N° 321, se formalizo</t>
  </si>
  <si>
    <t>y al folio 12 y stes, y en la seccion comercio, matricula commercial n°8048, serie “Comercial”, bajo el N°02, folio 10-21, ambas</t>
  </si>
  <si>
    <t>inscripciones en fecha 18/10/2018. A la relacionada escritura acompaño una complementaria de n° 60 de fecha 23/08/2018.</t>
  </si>
  <si>
    <t>Modificacion de Estatuto conforma a la escritura N° 41 (Civil "A") de fecha 24/20/2019, autorizada por la Escribana Ana María Mendoza</t>
  </si>
  <si>
    <t>de Acha, Reg. N° 321, se formalizo el aumento de Capital Social, emisión de Acciones y Modificacion de Estatutos Sociales. El Capital</t>
  </si>
  <si>
    <t>Social queda fijado en Gs 68.000.000.000 (Guaranes sesenta y ocho mil millones) y del capital integrado a Gs 64.109.200.000</t>
  </si>
  <si>
    <t>(guaranies sesenta y cuatro mil  ciento nueve  millones doscientos mil).  la Escritura se halla inscripta en los Registros Publicos de</t>
  </si>
  <si>
    <t>Personas Juridicas y Asociaciones bajo el N° 3 y al folio 12 y stes, y en la seccion comercio, matricula comercial N°8048, serie</t>
  </si>
  <si>
    <t xml:space="preserve"> “Comercial”, bajo el N° 03, folio 22-40, ambas  inscripciones en fecha 06/05/2020 y reingresada en fecha 07-01-2021.</t>
  </si>
  <si>
    <t>El plazo de duración de la Sociedad fue establecida en Noventa y Nueve (99) años y tiene por objeto la importación, exportación,</t>
  </si>
  <si>
    <t>representación de productos elaborados semi-elaborados Frutos del país y/o extranjero, materias primas, bienes en general,</t>
  </si>
  <si>
    <t>muebles e  inmuebles. Asimismo, la sociedad podrá recibir mandatos, representaciones, comisiones y consignaciones, comercializar</t>
  </si>
  <si>
    <t>y distribuir todo tipo de bienes, frutos o mercaderías, prestar todo tipo de servicios dedicarse a la instalación y explotación de industrias,</t>
  </si>
  <si>
    <t xml:space="preserve">a construcciones en general, administración de negocios y empresas, desarrollo de nuevos productos, marketing, relaciones públicas </t>
  </si>
  <si>
    <t>y publicidad, selección y entrenamiento de personal, servicios de correspondencias, suministro de informaciones económicas,</t>
  </si>
  <si>
    <t>realización de estudios o análisis económicos y financieros, estudio de mercado y factibilidad. Podrá también dedicarse a cualquier</t>
  </si>
  <si>
    <t>otro género de actividad mercantil admitida por ley.</t>
  </si>
  <si>
    <t>El funcionamiento y las operaciones de la Sociedad se rigen por sus Estatutos Sociales, El Código Civil, Civil, las Leyes 125/91, 2421/04,</t>
  </si>
  <si>
    <t>sus Decretos y Resoluciones reglamentarias y la Ley 1034 del  Comerciante. La Empresa fue Inscripta según Resolución  Nº 1.228/09</t>
  </si>
  <si>
    <t xml:space="preserve"> del 26 Octubre del 2009 en la Comisión Nacional de Valores</t>
  </si>
  <si>
    <t>Deudores Varios</t>
  </si>
  <si>
    <t>Las propiedades, planta y equipo se exponen a su costo histórico, menos la correspondiente depreciación acumulada. El costo de las mejoras que extienden la vida útil de los bienes o aumentan su capacidad productiva es imputado a las cuentas respectivas del activo.</t>
  </si>
  <si>
    <t>En el presente periodo se ha realizado una revisión de la vida útil de algunos bienes de Propiedad, Planta y Equipo considerando lo establecido en el párrafo 45 de la NIF 11, por las expectativas diferentes de los estimados previos, el cargo por depreciación para el periodo actual y futuros serán ajustados en forma prospectiva.</t>
  </si>
  <si>
    <t>La depreciación es calculada por el método de línea recta. La cantidad depreciable de un activo es determinada después de deducir el valor residual del activo, y está conforme a lo establecido en la Ley 6380/19, Art. 11 y las mismas son determinadas sobre la base de las tasas  establecidas en el Decreto 3182/19, Art. 31.</t>
  </si>
  <si>
    <t>Los gastos de mantenimiento son cargados a resultados.</t>
  </si>
  <si>
    <t>En el presente periodo se ha evaluado el método de amortización y años de vida útil, conforme lo establecido en los párrafos 63 y 64 de la NIF 15.</t>
  </si>
  <si>
    <t>Las amortizaciones son calculadas por el método que refleja el patrón de consumo de los beneficios económicos derivados de los intangibles o por el método de línea recta.</t>
  </si>
  <si>
    <t>* Reclasificación de la cuenta Licencia de Software en Curso SAP, según Nota CNV/DM N° 002/2021.</t>
  </si>
  <si>
    <t xml:space="preserve">(Esta nota debería incluir un breve detalle de contratos con terceros, vigente a la fecha de cierre del ejercicio, cuyo incumplimiento </t>
  </si>
  <si>
    <t xml:space="preserve">o cláusula específica podrían generar obligaciones contingentes para el cliente). </t>
  </si>
  <si>
    <t>Nota 30 - Resultado de inversiones en asociadas</t>
  </si>
  <si>
    <t xml:space="preserve">3RA. EMISION INT. BONOS BURSATILES A PAGAR C.P.                  </t>
  </si>
  <si>
    <t xml:space="preserve">3RA. EMISION DE BONOS BURSATILES NO DEVENGADOS C.P.               </t>
  </si>
  <si>
    <t xml:space="preserve">3RA. EMISION INTERESES BONOS BURSATILES A PAGAR C.P.                   </t>
  </si>
  <si>
    <t>Banco Rio S.A.E.C.A.- Intereses</t>
  </si>
  <si>
    <t>Banco Rio S.A.E.C.A.- Intereses L.P.</t>
  </si>
  <si>
    <t>FIC S.A.- Intereses L.P.</t>
  </si>
  <si>
    <t>(-) Banco Rio S.A.E.C.A. Int. De Devengar L.P.</t>
  </si>
  <si>
    <t xml:space="preserve">3RA. EMISION INTERESES BONOS BURSATILES A PAGAR L.P.                   </t>
  </si>
  <si>
    <t xml:space="preserve">(-)3RA. EMISION INT. BONOS BURSATILES NO DEVENGADOS LP               </t>
  </si>
  <si>
    <t xml:space="preserve">3RA. EMISION DE BONOS BURSATILES L.P.                             </t>
  </si>
  <si>
    <t xml:space="preserve">CUENTAS INCOBRABLES RECUPERADAS                                   </t>
  </si>
  <si>
    <t>ALDO ACCESORIES</t>
  </si>
  <si>
    <t>GAP</t>
  </si>
  <si>
    <t>BANANA REPUBLIC</t>
  </si>
  <si>
    <t>MOSS</t>
  </si>
  <si>
    <t>ABASTO S.A(ABASTO NORTE)</t>
  </si>
  <si>
    <t xml:space="preserve">GASTOS DE LICITACIONES                                            </t>
  </si>
  <si>
    <t xml:space="preserve">FLOC S.A.- Prestamos  M.E. C.P.                                     </t>
  </si>
  <si>
    <t xml:space="preserve">GASTOS EXTRAORDINARIOS                                            </t>
  </si>
  <si>
    <t xml:space="preserve">LOS 7S S.A. - PRESTAMO ME     </t>
  </si>
  <si>
    <t>FLOC S.A. M.E.</t>
  </si>
  <si>
    <t>Remuneracion Personal Superior</t>
  </si>
  <si>
    <r>
      <t xml:space="preserve">la Fusión de las Firmas </t>
    </r>
    <r>
      <rPr>
        <sz val="9"/>
        <color rgb="FF000000"/>
        <rFont val="Arial"/>
        <family val="2"/>
      </rPr>
      <t>"</t>
    </r>
    <r>
      <rPr>
        <b/>
        <sz val="9"/>
        <color rgb="FF000000"/>
        <rFont val="Arial"/>
        <family val="2"/>
      </rPr>
      <t xml:space="preserve">INNOVARE" S.A.E.C.A. y "SALLUSTRO Y CIA" S.A., por absorción, por lo que la firma </t>
    </r>
  </si>
  <si>
    <r>
      <t>"SALLUSTRO</t>
    </r>
    <r>
      <rPr>
        <b/>
        <sz val="9"/>
        <color rgb="FF000000"/>
        <rFont val="Arial"/>
        <family val="2"/>
      </rPr>
      <t xml:space="preserve"> Y CIA" S.A., </t>
    </r>
    <r>
      <rPr>
        <sz val="9"/>
        <color rgb="FF000000"/>
        <rFont val="Arial"/>
        <family val="2"/>
      </rPr>
      <t>absorvió a</t>
    </r>
    <r>
      <rPr>
        <b/>
        <sz val="9"/>
        <color rgb="FF000000"/>
        <rFont val="Arial"/>
        <family val="2"/>
      </rPr>
      <t xml:space="preserve"> </t>
    </r>
    <r>
      <rPr>
        <sz val="9"/>
        <color rgb="FF000000"/>
        <rFont val="Arial"/>
        <family val="2"/>
      </rPr>
      <t>"</t>
    </r>
    <r>
      <rPr>
        <b/>
        <sz val="9"/>
        <color rgb="FF000000"/>
        <rFont val="Arial"/>
        <family val="2"/>
      </rPr>
      <t xml:space="preserve">INNOVARE" S.A.E.C.A. </t>
    </r>
    <r>
      <rPr>
        <sz val="9"/>
        <color rgb="FF000000"/>
        <rFont val="Arial"/>
        <family val="2"/>
      </rPr>
      <t xml:space="preserve">El capital social de la Firma quedo fijado en 40.000.000.000  (Guaranies </t>
    </r>
  </si>
  <si>
    <r>
      <t>cuarenta mil millones)</t>
    </r>
    <r>
      <rPr>
        <b/>
        <sz val="9"/>
        <color rgb="FF000000"/>
        <rFont val="Arial"/>
        <family val="2"/>
      </rPr>
      <t xml:space="preserve">, la </t>
    </r>
    <r>
      <rPr>
        <sz val="9"/>
        <color rgb="FF000000"/>
        <rFont val="Arial"/>
        <family val="2"/>
      </rPr>
      <t>escritura se halla inscripta en los Registros Publicos de Personas Juridicas y  Asociaciones bajo el N° 2</t>
    </r>
  </si>
  <si>
    <t>Seguna Acta de Asamblea General Ordinaria de fecha 12 de abril del 2021, se ha resuelto capitalizar el resultado del ejercicio 2020</t>
  </si>
  <si>
    <t>Gs. 953.240.265 (Guaranies novecientos cincuenta y tres millones doscientos cuarenta mil doscientos sesenta y cinco) por lo</t>
  </si>
  <si>
    <t xml:space="preserve">que el nuevo capital integrado asciende a G. 65.062.440.265 (Guaranies sesenta y cinco mil sesenta y dos millones cuatroscientos </t>
  </si>
  <si>
    <t>cuarenta mil doscientos sesenta y cinco).</t>
  </si>
  <si>
    <t>Según Acta de Asamblea General Ordinaria de fecha 12 de abril del 2022, se ha resuelto capitalizar Gs. 1.425.175.367, de esa</t>
  </si>
  <si>
    <t>forma se integra la totalidad del capital suscrito que asciende a Gs. 68.000.000.000 (Guaranes sesenta y ocho mil millones)</t>
  </si>
  <si>
    <t xml:space="preserve">Las inversiones temporales se valúan de acuerdo a los siguientes criterios de valuación:
 Valores mobiliarios: a su valor de cotización al cierre del año/período menos los gastos estimados de venta. Ver Nota ....
 Colocaciones financieras en moneda local: a su valor nominal más los intereses devengados al cierre del año/período. Ver Nota 4
 Colocaciones financieras en moneda extranjera: a su valor de cotización al cierre del año/período más intereses devengados a ese momento. Ver Nota 4
 Las inversiones no corrientes en sociedades donde no se ejerce el control, se valúan a su valor patrimonial proporcional. Ver Nota ....
</t>
  </si>
  <si>
    <t xml:space="preserve">BANCO ITAU GS                                                     </t>
  </si>
  <si>
    <t xml:space="preserve">BANCO FAMILIAR GS                                                 </t>
  </si>
  <si>
    <t xml:space="preserve">BANCO ATLAS GS                                                    </t>
  </si>
  <si>
    <t xml:space="preserve">BANCO GNB EN PROCESO DE FUSION                                    </t>
  </si>
  <si>
    <t xml:space="preserve">BANCO GNB GS                                                      </t>
  </si>
  <si>
    <t xml:space="preserve">BANCO SUDAMERIS GS                                                </t>
  </si>
  <si>
    <t xml:space="preserve">BANCO AMAMBAY GS                                                  </t>
  </si>
  <si>
    <t xml:space="preserve">BANCO NACIONAL DE FOMENTO GS                                      </t>
  </si>
  <si>
    <t xml:space="preserve">BANCOP GS.                                                        </t>
  </si>
  <si>
    <t xml:space="preserve">BANCO INTERFISA SAECA GS.                                         </t>
  </si>
  <si>
    <t xml:space="preserve">BANCO RIO S.A.E.C.A. GS.                                          </t>
  </si>
  <si>
    <t xml:space="preserve">FIC S.A. DE FINANZAS GS                                           </t>
  </si>
  <si>
    <t xml:space="preserve">BANCO DO BRASIL GS                                                </t>
  </si>
  <si>
    <t xml:space="preserve">FINANCIERA UENO S.A.E.C.A. GS.                                    </t>
  </si>
  <si>
    <t xml:space="preserve">BANCO DE LA NACION ARGENTINA GS                                   </t>
  </si>
  <si>
    <t xml:space="preserve">BANCO ITAU - CAJA DE AHORRO/BONOS                                 </t>
  </si>
  <si>
    <t xml:space="preserve">BANCO ITAU- CTA. RESERVA BONOS                                    </t>
  </si>
  <si>
    <t>Intereses a Cobrar ML</t>
  </si>
  <si>
    <t>Préstamos a Socios y Accionistas ML</t>
  </si>
  <si>
    <t>Intereses a Devengar ML</t>
  </si>
  <si>
    <t>Préstamos a Socios y Accionistas ME</t>
  </si>
  <si>
    <t>Intereses a Cobrar ME</t>
  </si>
  <si>
    <t>Intereses a Devengar ME</t>
  </si>
  <si>
    <t>Inversiones a Largo Plazo</t>
  </si>
  <si>
    <t>Financiera Ueno S.A.E.C.A.</t>
  </si>
  <si>
    <t>Financiera Ueno S.A.E.C.A.- Intereses</t>
  </si>
  <si>
    <t>(-) Financiera Ueno S.A.E.C.A.- Int. A Devengar</t>
  </si>
  <si>
    <t>Banco Continental GS. - SOBREGIRO</t>
  </si>
  <si>
    <t>Banco Regional USD. - SOBREGIRO</t>
  </si>
  <si>
    <t>Financiera Ueno S.A.E.C.A. L.P.</t>
  </si>
  <si>
    <t>Banco Nacional de Fomento. - Intereses L.P.</t>
  </si>
  <si>
    <t>Financiera Ueno S.A.E.C.A.- Intereses LP</t>
  </si>
  <si>
    <t>Banco Nacional de Fomento. - L.P.</t>
  </si>
  <si>
    <t>(-) Banco Nacional de Fomento GS. Int. A Devengar L.P.</t>
  </si>
  <si>
    <t>(-) Financiera Ueno.- Int. A Devengar LP</t>
  </si>
  <si>
    <t>PUKET</t>
  </si>
  <si>
    <t>Capitalizacion de Resultados</t>
  </si>
  <si>
    <t>&gt; 180</t>
  </si>
  <si>
    <t>Cuentas por Cobrar a Socios y/o Entidades Vinculadas C.P.</t>
  </si>
  <si>
    <t>Cuentas por Cobrar a Socios y/o Entidades Vinculadas L.P.</t>
  </si>
  <si>
    <t xml:space="preserve">PRESTAMOS A TERCEROS ALBERTO SALLUSTRO C.P.                       </t>
  </si>
  <si>
    <t xml:space="preserve">PRESTAMOS A LAURA SALLUSTRO CALLIZO                               </t>
  </si>
  <si>
    <t xml:space="preserve">PRESTAMOS A TERCEROS MALECON S.A                                  </t>
  </si>
  <si>
    <t xml:space="preserve">PRESTAMOS A TERCEROS GRUPO 3S S.A. M.L.                         </t>
  </si>
  <si>
    <t xml:space="preserve">PRESTAMOS A TERCEROS GRUPO 3S S.A. M.E.                           </t>
  </si>
  <si>
    <t xml:space="preserve">PRESTAMO A SOCIOS ACIONISTAS ME CP                                </t>
  </si>
  <si>
    <t xml:space="preserve">PRESTAMOS A LAURA SALLUSTRO CALLIZO L.P.                          </t>
  </si>
  <si>
    <t xml:space="preserve">PRESTAMOS A TERCEROS ALBERTO SALLUSTRO L.P.                       </t>
  </si>
  <si>
    <t xml:space="preserve">PRESTAMOS A TERCEROS GRUPO 3S S.A. L.P.                           </t>
  </si>
  <si>
    <t>Honorarios Profesionales</t>
  </si>
  <si>
    <t>Intereses pagados por préstamos- Laura Ivonne Callizo de Sallustro</t>
  </si>
  <si>
    <t>Comisión a Directores s/ Ventas</t>
  </si>
  <si>
    <t>Las existencias se valúan al menor entre su costo de adquisición o de producción y su valor neto de realización (NIF 12, párrafo 5). Para determinar el consumo (baja de inventarios) se aplicarán las fórmulas de costeo siguientes: PPP (Precio Promedio Ponderado) Ver Nota 26</t>
  </si>
  <si>
    <t>Retención del Exterior Renta</t>
  </si>
  <si>
    <t>Anticipos de Remuneración</t>
  </si>
  <si>
    <t>Crédito IRE General</t>
  </si>
  <si>
    <t>**Inmueble en Curso</t>
  </si>
  <si>
    <t>** Compra de Inmueble en juicio de sucesión, individualizado como Lote Nº 17, de la Manzana Nº 11, Finca Nº: 6.467 Inscripto en la Dirección General de los Registros Públicos, bajo el N° 1, folio 1 y sgtes., en fecha 05 de Enero de 1973, a nombre del Señor HERNANDO BENITO FRANCO JACQUET, con Cta. Cte. Catastral Nº 15-554-22. en proceso de Escritura.</t>
  </si>
  <si>
    <t>Préstamos de Socios Accionistas</t>
  </si>
  <si>
    <t>Los 7S S.A. - Préstamo M.E.</t>
  </si>
  <si>
    <t xml:space="preserve">FLOC S.A.- Préstamos  M.E. C.P.                                     </t>
  </si>
  <si>
    <t>Cecilia Sallustro Marín L.P.</t>
  </si>
  <si>
    <t>Entre la fecha de cierre del ejercicio y la fecha de preparación de estos estados financieros,</t>
  </si>
  <si>
    <t xml:space="preserve">no han ocurrido hechos significativos de carácter financiero o de otra índole que afecten </t>
  </si>
  <si>
    <t xml:space="preserve">PRESTAMOS A TERCEROS GRUPO 3S S.A. M.E. L.P.           </t>
  </si>
  <si>
    <t xml:space="preserve">SUDAMERIS SAECA GS.                                               </t>
  </si>
  <si>
    <t>Banco Interfisa S.A.E.C.A U$</t>
  </si>
  <si>
    <t>Banco Vision S.A.E.C.A.</t>
  </si>
  <si>
    <t>Banco Itau GS. - SOBREGIRO</t>
  </si>
  <si>
    <t>Banco Atlas GS. - SOBREGIRO</t>
  </si>
  <si>
    <t>Banco UENO GS. - SOBREGIRO</t>
  </si>
  <si>
    <t>Banco Itua USD. - SOBREGIRO</t>
  </si>
  <si>
    <t>Banco Sudameris USD. - SOBREGIRO</t>
  </si>
  <si>
    <t>Banco Vision S.A.E.C.A.- Intereses</t>
  </si>
  <si>
    <t>Banco Basa - Intereses</t>
  </si>
  <si>
    <t>Banco Continental USD. - Intereses</t>
  </si>
  <si>
    <t xml:space="preserve">(-) Banco Visión Int. A Devengar </t>
  </si>
  <si>
    <t>(-)Banco Basa - Intereses a Devengar</t>
  </si>
  <si>
    <t>(-) Banco Continental USD. - Intereses a Devengar</t>
  </si>
  <si>
    <t>Descuento de Cheque</t>
  </si>
  <si>
    <t xml:space="preserve">BANCO CONTINENTAL - DESC. DE CHEQUE                               </t>
  </si>
  <si>
    <t xml:space="preserve">BANCO CONTINENTAL U$S -DESC. DE CHEQUE                            </t>
  </si>
  <si>
    <t>Banco Visión S.A. L.P.</t>
  </si>
  <si>
    <t>Banco Basa - L.P.</t>
  </si>
  <si>
    <t>Banco Visión S.A. - Intereses LP.</t>
  </si>
  <si>
    <t>Banco Basa. - Intereses L.P.</t>
  </si>
  <si>
    <t>Solar- Intereses L.P.</t>
  </si>
  <si>
    <t>Banco Do Brasil- Intereses L.P.</t>
  </si>
  <si>
    <t>(-) Banco Visión Int. A Devengar L.P.</t>
  </si>
  <si>
    <t>(-) Banco Basa GS. Int. A Devengar L.P.</t>
  </si>
  <si>
    <t>(-) Solar S.A. de Finanzas Int. A Devengar L.P.</t>
  </si>
  <si>
    <t>(-) Banco Do Brasil Int. A Devengar L.P.</t>
  </si>
  <si>
    <t>SALLUSTRO Y CIA. S.A.</t>
  </si>
  <si>
    <t xml:space="preserve">IMPUESTO A LA RENTA A PAGAR                                       </t>
  </si>
  <si>
    <t xml:space="preserve">GASTOS DE VIAJES COMERCIALES                                      </t>
  </si>
  <si>
    <t>PERDIDA EN VENTA DE ACTIVO FIJO</t>
  </si>
  <si>
    <t>Capitalizacion de resultados s/ Acta de Asamblea ordinaria N° 16 del 12/04/2023</t>
  </si>
  <si>
    <t>TC 2023</t>
  </si>
  <si>
    <t>HUSH PUPPIES &amp; CONVERSE</t>
  </si>
  <si>
    <t>KARIM DAMANI</t>
  </si>
  <si>
    <t>SALLUSTRO 1811</t>
  </si>
  <si>
    <t>MARCOS BUHMAN (FELIX BOGADO)</t>
  </si>
  <si>
    <t>LUMBRA S.A.</t>
  </si>
  <si>
    <t xml:space="preserve">LOS JARDINES </t>
  </si>
  <si>
    <t>INMOBILIARIA JOTAEFE S.A.</t>
  </si>
  <si>
    <t>AITANA S.A.</t>
  </si>
  <si>
    <t>TIENDA SAN MARTIN</t>
  </si>
  <si>
    <t>HERING STORE</t>
  </si>
  <si>
    <t>ROSANTI S.A.E.C.A</t>
  </si>
  <si>
    <t>OUTLET SAN LORENZO</t>
  </si>
  <si>
    <t>Alquileres Pagados</t>
  </si>
  <si>
    <t>Banco Basa S.A.</t>
  </si>
  <si>
    <t>Guaraníes</t>
  </si>
  <si>
    <t>Importación en Curso</t>
  </si>
  <si>
    <t>Previsión por Obsolescencia</t>
  </si>
  <si>
    <t>Licencia de Software y Marcas</t>
  </si>
  <si>
    <t>*Licencia de Software en Curso SAP</t>
  </si>
  <si>
    <t>Gastos de Reorganización</t>
  </si>
  <si>
    <t>(a)Para las operaciones en M.E. el tipo de cambio fue de 7.283,62</t>
  </si>
  <si>
    <t>Ventas línea de negocio 2</t>
  </si>
  <si>
    <t>(nuevas líneas de negocio a incluir)</t>
  </si>
  <si>
    <t/>
  </si>
  <si>
    <t>la situación patrimonial o financiera o los resultados de la Sociedad al 31 de diciembre del 2024.</t>
  </si>
  <si>
    <t>Capitalizacion de resultados s/ Acta de Asamblea ordinaria N° 17 del 15/04/2024 y N°18 del 23/12/2024</t>
  </si>
  <si>
    <t>FINANCIERA PARAGUAYO JAPONESA S.A.E.C.A.</t>
  </si>
  <si>
    <t xml:space="preserve">FINANCIERA SOLAR S.A.E.C.A.                                        </t>
  </si>
  <si>
    <t xml:space="preserve">UENO BANK EX BANCO VISION S.A GS                                               </t>
  </si>
  <si>
    <t>BANCO SOLAR U$S</t>
  </si>
  <si>
    <t>UENO Bank U$S Banco Visión S.A. Cta.  U$ 900063273</t>
  </si>
  <si>
    <t xml:space="preserve">Deudores por Prestamos </t>
  </si>
  <si>
    <t>Impuesto al Valor Agregado 10% a recibir</t>
  </si>
  <si>
    <t>Financiera Paraguayo Japonesa</t>
  </si>
  <si>
    <t>(-) Financiera Paraguayo Japonesa- Int. A Devengar</t>
  </si>
  <si>
    <t>Financiera Paraguayo Japonesa - Intereses</t>
  </si>
  <si>
    <t>Financiera Paraguayo Japonesa- Intereses LP</t>
  </si>
  <si>
    <t>(-) Financiera Paraguayo Japonesa- Int. A Devengar LP</t>
  </si>
  <si>
    <t>Deudores por prestamos LP ME</t>
  </si>
  <si>
    <t>(-) Intereses bonos bursátiles no devengados CP</t>
  </si>
  <si>
    <t>Magali Zanotti Cavazoni Ferrario</t>
  </si>
  <si>
    <t xml:space="preserve">PRESTAMO DE SOCIO - ALBERTO SALLUSTRO M.L. LP                      </t>
  </si>
  <si>
    <t xml:space="preserve">PRESTAMO DE SOCIO - IVONNE CALLIZO M.L. LP                      </t>
  </si>
  <si>
    <t xml:space="preserve">PRESTAMO DE SOCIO - OCTAVIO SALLUSTRO M.L. LP                      </t>
  </si>
  <si>
    <t xml:space="preserve">PRESTAMO DE SOCIO - ALEJANDRO SALLUSTRO M.L. LP                      </t>
  </si>
  <si>
    <t>CECILIA SALLUSTRO MARIN L.P.</t>
  </si>
  <si>
    <t>Interes a Inversores - Alberto Sallustro</t>
  </si>
  <si>
    <t>Interes a Inversores - Alejandro Sallustro</t>
  </si>
  <si>
    <t>Interes a Inversores - Octavio  Sallustro</t>
  </si>
  <si>
    <t>TC 2024</t>
  </si>
  <si>
    <r>
      <t xml:space="preserve">A la fecha de emisión de estos estados financieros, el tipo de cambio de la moneda extranjera es 7.812,22 del Activo y 7.843,41 del pasivo en U$S, el Activo aumentó en un </t>
    </r>
    <r>
      <rPr>
        <sz val="9"/>
        <color rgb="FFFF0000"/>
        <rFont val="Arial"/>
        <family val="2"/>
      </rPr>
      <t>0,15</t>
    </r>
    <r>
      <rPr>
        <sz val="9"/>
        <rFont val="Arial"/>
        <family val="2"/>
      </rPr>
      <t xml:space="preserve">% y el Pasivo disminuyo en un </t>
    </r>
    <r>
      <rPr>
        <sz val="9"/>
        <color rgb="FFFF0000"/>
        <rFont val="Arial"/>
        <family val="2"/>
      </rPr>
      <t>0,43%</t>
    </r>
    <r>
      <rPr>
        <sz val="9"/>
        <rFont val="Arial"/>
        <family val="2"/>
      </rPr>
      <t xml:space="preserve"> con respecto al vigente al 31 de diciembre de 2023.</t>
    </r>
  </si>
  <si>
    <t xml:space="preserve">Los saldos al 31 de diciembre y 2024,  están compuestos  por  fondos disponibles en poder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</si>
</sst>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1" formatCode="_ * #,##0_ ;_ * \-#,##0_ ;_ * &quot;-&quot;_ ;_ @_ "/>
    <numFmt numFmtId="43" formatCode="_ * #,##0.00_ ;_ * \-#,##0.00_ ;_ * &quot;-&quot;??_ ;_ @_ "/>
    <numFmt numFmtId="164" formatCode="_-* #,##0_-;\-* #,##0_-;_-* &quot;-&quot;_-;_-@_-"/>
    <numFmt numFmtId="165" formatCode="_-* #,##0.00_-;\-* #,##0.00_-;_-* &quot;-&quot;??_-;_-@_-"/>
    <numFmt numFmtId="166" formatCode="_(* #,##0.00_);_(* \(#,##0.00\);_(* &quot;-&quot;??_);_(@_)"/>
    <numFmt numFmtId="167" formatCode="_ * #,##0_ ;_ * \-#,##0_ ;_ * &quot;-&quot;??_ ;_ @_ "/>
    <numFmt numFmtId="168" formatCode="_-* #,##0_-;\-* #,##0_-;_-* &quot;-&quot;??_-;_-@_-"/>
    <numFmt numFmtId="169" formatCode="_(* #,##0_);_(* \(#,##0\);_(* &quot;-&quot;??_);_(@_)"/>
    <numFmt numFmtId="170" formatCode="dd/mm/yyyy;@"/>
    <numFmt numFmtId="171" formatCode="_ * #,##0.00_ ;_ * \-#,##0.00_ ;_ * &quot;-&quot;_ ;_ @_ "/>
    <numFmt numFmtId="172" formatCode="_ * #,##0.000_ ;_ * \-#,##0.000_ ;_ * &quot;-&quot;_ ;_ @_ "/>
    <numFmt numFmtId="173" formatCode="_ * #,##0.0_ ;_ * \-#,##0.0_ ;_ * &quot;-&quot;_ ;_ @_ "/>
  </numFmts>
  <fonts count="94" x14ac:knownFonts="1">
    <font>
      <sz val="11"/>
      <color theme="1"/>
      <name val="Calibri"/>
      <family val="2"/>
      <scheme val="minor"/>
    </font>
    <font>
      <b/>
      <sz val="10"/>
      <color indexed="8"/>
      <name val="Arial"/>
      <family val="2"/>
    </font>
    <font>
      <sz val="10"/>
      <name val="Arial"/>
      <family val="2"/>
    </font>
    <font>
      <sz val="11"/>
      <color indexed="8"/>
      <name val="Calibri"/>
      <family val="2"/>
    </font>
    <font>
      <b/>
      <sz val="9"/>
      <name val="Arial"/>
      <family val="2"/>
    </font>
    <font>
      <b/>
      <sz val="10"/>
      <name val="Arial"/>
      <family val="2"/>
    </font>
    <font>
      <b/>
      <u/>
      <sz val="10"/>
      <name val="Arial"/>
      <family val="2"/>
    </font>
    <font>
      <b/>
      <sz val="8"/>
      <name val="Arial"/>
      <family val="2"/>
    </font>
    <font>
      <sz val="11"/>
      <name val="Arial"/>
      <family val="2"/>
    </font>
    <font>
      <b/>
      <sz val="11"/>
      <name val="Arial"/>
      <family val="2"/>
    </font>
    <font>
      <sz val="10"/>
      <name val="Arial Black"/>
      <family val="2"/>
    </font>
    <font>
      <sz val="9"/>
      <name val="Arial"/>
      <family val="2"/>
    </font>
    <font>
      <sz val="9"/>
      <color indexed="8"/>
      <name val="Arial"/>
      <family val="2"/>
    </font>
    <font>
      <sz val="8"/>
      <name val="Arial"/>
      <family val="2"/>
    </font>
    <font>
      <i/>
      <sz val="9"/>
      <name val="Arial"/>
      <family val="2"/>
    </font>
    <font>
      <i/>
      <sz val="9"/>
      <color indexed="8"/>
      <name val="Arial"/>
      <family val="2"/>
    </font>
    <font>
      <sz val="11"/>
      <name val="Calibri"/>
      <family val="2"/>
    </font>
    <font>
      <b/>
      <sz val="11"/>
      <name val="Calibri"/>
      <family val="2"/>
    </font>
    <font>
      <sz val="11"/>
      <color indexed="8"/>
      <name val="Arial"/>
      <family val="2"/>
    </font>
    <font>
      <b/>
      <sz val="12"/>
      <name val="Calibri"/>
      <family val="2"/>
    </font>
    <font>
      <sz val="10"/>
      <color indexed="8"/>
      <name val="Arial"/>
      <family val="2"/>
    </font>
    <font>
      <b/>
      <sz val="10"/>
      <color indexed="8"/>
      <name val="Arial"/>
      <family val="2"/>
    </font>
    <font>
      <b/>
      <sz val="9"/>
      <color indexed="8"/>
      <name val="Arial"/>
      <family val="2"/>
    </font>
    <font>
      <sz val="11"/>
      <color theme="1"/>
      <name val="Calibri"/>
      <family val="2"/>
      <scheme val="minor"/>
    </font>
    <font>
      <b/>
      <sz val="11"/>
      <color theme="0"/>
      <name val="Calibri"/>
      <family val="2"/>
      <scheme val="minor"/>
    </font>
    <font>
      <u/>
      <sz val="11"/>
      <color theme="10"/>
      <name val="Calibri"/>
      <family val="2"/>
      <scheme val="minor"/>
    </font>
    <font>
      <sz val="11"/>
      <color rgb="FF000000"/>
      <name val="Calibri"/>
      <family val="2"/>
      <scheme val="minor"/>
    </font>
    <font>
      <sz val="11"/>
      <color rgb="FFFF0000"/>
      <name val="Calibri"/>
      <family val="2"/>
      <scheme val="minor"/>
    </font>
    <font>
      <b/>
      <sz val="11"/>
      <color theme="1"/>
      <name val="Calibri"/>
      <family val="2"/>
      <scheme val="minor"/>
    </font>
    <font>
      <sz val="10"/>
      <color theme="1"/>
      <name val="Arial"/>
      <family val="2"/>
    </font>
    <font>
      <b/>
      <sz val="10"/>
      <color theme="1"/>
      <name val="Arial"/>
      <family val="2"/>
    </font>
    <font>
      <sz val="10"/>
      <color rgb="FF000000"/>
      <name val="Arial"/>
      <family val="2"/>
    </font>
    <font>
      <sz val="9"/>
      <color theme="1"/>
      <name val="Arial"/>
      <family val="2"/>
    </font>
    <font>
      <sz val="8"/>
      <color theme="1"/>
      <name val="Arial"/>
      <family val="2"/>
    </font>
    <font>
      <sz val="11"/>
      <color theme="1"/>
      <name val="Arial"/>
      <family val="2"/>
    </font>
    <font>
      <sz val="10"/>
      <color theme="0"/>
      <name val="Arial"/>
      <family val="2"/>
    </font>
    <font>
      <sz val="10"/>
      <color rgb="FFFF0000"/>
      <name val="Arial"/>
      <family val="2"/>
    </font>
    <font>
      <sz val="10"/>
      <color theme="0"/>
      <name val="Arial Black"/>
      <family val="2"/>
    </font>
    <font>
      <b/>
      <sz val="10"/>
      <color theme="0"/>
      <name val="Arial"/>
      <family val="2"/>
    </font>
    <font>
      <b/>
      <sz val="11"/>
      <color theme="0"/>
      <name val="Arial Black"/>
      <family val="2"/>
    </font>
    <font>
      <u/>
      <sz val="10"/>
      <color theme="1"/>
      <name val="Arial"/>
      <family val="2"/>
    </font>
    <font>
      <b/>
      <sz val="10"/>
      <color rgb="FF000000"/>
      <name val="Arial"/>
      <family val="2"/>
    </font>
    <font>
      <sz val="9"/>
      <color rgb="FFFFFFFF"/>
      <name val="Arial"/>
      <family val="2"/>
    </font>
    <font>
      <b/>
      <sz val="10"/>
      <color rgb="FFFF0000"/>
      <name val="Arial"/>
      <family val="2"/>
    </font>
    <font>
      <sz val="11"/>
      <name val="Calibri"/>
      <family val="2"/>
      <scheme val="minor"/>
    </font>
    <font>
      <b/>
      <sz val="11"/>
      <name val="Calibri"/>
      <family val="2"/>
      <scheme val="minor"/>
    </font>
    <font>
      <sz val="9"/>
      <name val="Calibri"/>
      <family val="2"/>
      <scheme val="minor"/>
    </font>
    <font>
      <b/>
      <sz val="10"/>
      <color theme="0"/>
      <name val="Arial Black"/>
      <family val="2"/>
    </font>
    <font>
      <sz val="10"/>
      <color theme="1"/>
      <name val="Arial Black"/>
      <family val="2"/>
    </font>
    <font>
      <sz val="9"/>
      <color rgb="FF000000"/>
      <name val="Arial"/>
      <family val="2"/>
    </font>
    <font>
      <sz val="9"/>
      <color theme="1"/>
      <name val="Book Antiqua"/>
      <family val="1"/>
    </font>
    <font>
      <sz val="10"/>
      <color theme="1"/>
      <name val="Calibri"/>
      <family val="2"/>
      <scheme val="minor"/>
    </font>
    <font>
      <u/>
      <sz val="10"/>
      <color theme="10"/>
      <name val="Arial"/>
      <family val="2"/>
    </font>
    <font>
      <sz val="9"/>
      <color theme="1"/>
      <name val="Calibri"/>
      <family val="2"/>
      <scheme val="minor"/>
    </font>
    <font>
      <i/>
      <sz val="9"/>
      <color theme="1"/>
      <name val="Calibri"/>
      <family val="2"/>
      <scheme val="minor"/>
    </font>
    <font>
      <sz val="12"/>
      <color theme="1"/>
      <name val="Book Antiqua"/>
      <family val="1"/>
    </font>
    <font>
      <sz val="12"/>
      <color theme="1"/>
      <name val="Calibri"/>
      <family val="2"/>
      <scheme val="minor"/>
    </font>
    <font>
      <b/>
      <sz val="12"/>
      <color theme="0"/>
      <name val="Calibri"/>
      <family val="2"/>
      <scheme val="minor"/>
    </font>
    <font>
      <sz val="12"/>
      <color theme="0"/>
      <name val="Calibri"/>
      <family val="2"/>
      <scheme val="minor"/>
    </font>
    <font>
      <sz val="11"/>
      <color theme="4"/>
      <name val="Calibri"/>
      <family val="2"/>
      <scheme val="minor"/>
    </font>
    <font>
      <sz val="9"/>
      <color theme="4"/>
      <name val="Book Antiqua"/>
      <family val="1"/>
    </font>
    <font>
      <i/>
      <sz val="10"/>
      <color theme="1"/>
      <name val="Arial"/>
      <family val="2"/>
    </font>
    <font>
      <b/>
      <sz val="11"/>
      <color theme="0"/>
      <name val="Arial"/>
      <family val="2"/>
    </font>
    <font>
      <i/>
      <sz val="11"/>
      <color theme="1"/>
      <name val="Calibri"/>
      <family val="2"/>
      <scheme val="minor"/>
    </font>
    <font>
      <i/>
      <sz val="9"/>
      <color rgb="FF000000"/>
      <name val="Arial"/>
      <family val="2"/>
    </font>
    <font>
      <i/>
      <sz val="11"/>
      <color theme="1"/>
      <name val="Arial"/>
      <family val="2"/>
    </font>
    <font>
      <b/>
      <sz val="9"/>
      <color rgb="FFFFFFFF"/>
      <name val="Arial"/>
      <family val="2"/>
    </font>
    <font>
      <b/>
      <sz val="9"/>
      <color theme="0"/>
      <name val="Arial"/>
      <family val="2"/>
    </font>
    <font>
      <sz val="11"/>
      <color theme="1"/>
      <name val="Calibri"/>
      <family val="2"/>
    </font>
    <font>
      <b/>
      <sz val="11"/>
      <color rgb="FF000000"/>
      <name val="Calibri"/>
      <family val="2"/>
    </font>
    <font>
      <sz val="10"/>
      <color theme="1"/>
      <name val="Calibri"/>
      <family val="2"/>
    </font>
    <font>
      <b/>
      <sz val="10"/>
      <color rgb="FFFFFFFF"/>
      <name val="Arial"/>
      <family val="2"/>
    </font>
    <font>
      <sz val="10"/>
      <name val="Calibri"/>
      <family val="2"/>
      <scheme val="minor"/>
    </font>
    <font>
      <b/>
      <sz val="11"/>
      <color theme="1"/>
      <name val="Calibri"/>
      <family val="2"/>
    </font>
    <font>
      <b/>
      <i/>
      <sz val="11"/>
      <color theme="1"/>
      <name val="Calibri"/>
      <family val="2"/>
      <scheme val="minor"/>
    </font>
    <font>
      <b/>
      <u val="singleAccounting"/>
      <sz val="10"/>
      <color theme="0"/>
      <name val="Arial Black"/>
      <family val="2"/>
    </font>
    <font>
      <sz val="9"/>
      <color rgb="FFFF0000"/>
      <name val="Arial"/>
      <family val="2"/>
    </font>
    <font>
      <sz val="12"/>
      <color theme="1"/>
      <name val="Cambria"/>
      <family val="1"/>
    </font>
    <font>
      <sz val="9"/>
      <color rgb="FF1D1B11"/>
      <name val="Arial"/>
      <family val="2"/>
    </font>
    <font>
      <sz val="10"/>
      <color theme="3"/>
      <name val="Arial"/>
      <family val="2"/>
    </font>
    <font>
      <sz val="11"/>
      <color theme="3"/>
      <name val="Calibri"/>
      <family val="2"/>
      <scheme val="minor"/>
    </font>
    <font>
      <b/>
      <shadow/>
      <sz val="54"/>
      <color rgb="FF000000"/>
      <name val="Calibri"/>
      <family val="2"/>
      <scheme val="minor"/>
    </font>
    <font>
      <sz val="8"/>
      <color rgb="FFFF0000"/>
      <name val="Arial"/>
      <family val="2"/>
    </font>
    <font>
      <sz val="11"/>
      <color rgb="FFFF0000"/>
      <name val="Arial"/>
      <family val="2"/>
    </font>
    <font>
      <i/>
      <sz val="9"/>
      <name val="Calibri"/>
      <family val="2"/>
      <scheme val="minor"/>
    </font>
    <font>
      <i/>
      <sz val="9"/>
      <color theme="1"/>
      <name val="Arial"/>
      <family val="2"/>
    </font>
    <font>
      <sz val="11"/>
      <color theme="1"/>
      <name val="Cambria"/>
      <family val="1"/>
    </font>
    <font>
      <b/>
      <sz val="9"/>
      <color rgb="FF000000"/>
      <name val="Arial"/>
      <family val="2"/>
    </font>
    <font>
      <b/>
      <sz val="12"/>
      <color theme="1"/>
      <name val="Calibri"/>
      <family val="2"/>
      <scheme val="minor"/>
    </font>
    <font>
      <b/>
      <i/>
      <sz val="11"/>
      <color theme="1"/>
      <name val="Calibri"/>
      <family val="2"/>
    </font>
    <font>
      <i/>
      <sz val="11"/>
      <color theme="3"/>
      <name val="Calibri"/>
      <family val="2"/>
      <scheme val="minor"/>
    </font>
    <font>
      <u/>
      <sz val="11"/>
      <name val="Calibri"/>
      <family val="2"/>
      <scheme val="minor"/>
    </font>
    <font>
      <sz val="9"/>
      <color indexed="81"/>
      <name val="Tahoma"/>
      <family val="2"/>
    </font>
    <font>
      <b/>
      <sz val="9"/>
      <color indexed="81"/>
      <name val="Tahoma"/>
      <family val="2"/>
    </font>
  </fonts>
  <fills count="16">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rgb="FFFFC000"/>
        <bgColor indexed="64"/>
      </patternFill>
    </fill>
    <fill>
      <patternFill patternType="solid">
        <fgColor theme="4" tint="-0.499984740745262"/>
        <bgColor indexed="64"/>
      </patternFill>
    </fill>
    <fill>
      <patternFill patternType="solid">
        <fgColor theme="4" tint="-0.249977111117893"/>
        <bgColor indexed="64"/>
      </patternFill>
    </fill>
    <fill>
      <patternFill patternType="solid">
        <fgColor rgb="FFA6A6A6"/>
        <bgColor rgb="FF000000"/>
      </patternFill>
    </fill>
    <fill>
      <patternFill patternType="solid">
        <fgColor theme="0"/>
        <bgColor rgb="FF000000"/>
      </patternFill>
    </fill>
    <fill>
      <patternFill patternType="solid">
        <fgColor theme="4" tint="-0.499984740745262"/>
        <bgColor rgb="FF000000"/>
      </patternFill>
    </fill>
    <fill>
      <patternFill patternType="solid">
        <fgColor rgb="FFFFFFFF"/>
        <bgColor rgb="FF000000"/>
      </patternFill>
    </fill>
    <fill>
      <patternFill patternType="solid">
        <fgColor rgb="FF203764"/>
        <bgColor rgb="FF000000"/>
      </patternFill>
    </fill>
    <fill>
      <patternFill patternType="solid">
        <fgColor rgb="FFB8CCE4"/>
        <bgColor rgb="FF000000"/>
      </patternFill>
    </fill>
    <fill>
      <patternFill patternType="solid">
        <fgColor theme="4" tint="0.39997558519241921"/>
        <bgColor indexed="64"/>
      </patternFill>
    </fill>
    <fill>
      <patternFill patternType="solid">
        <fgColor indexed="65"/>
        <bgColor rgb="FF000000"/>
      </patternFill>
    </fill>
    <fill>
      <patternFill patternType="solid">
        <fgColor rgb="FF7030A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double">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style="thin">
        <color rgb="FFFFFFFF"/>
      </top>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bottom/>
      <diagonal/>
    </border>
    <border>
      <left/>
      <right style="thin">
        <color rgb="FFFFFFFF"/>
      </right>
      <top style="thin">
        <color rgb="FFFFFFFF"/>
      </top>
      <bottom style="thin">
        <color rgb="FFFFFFFF"/>
      </bottom>
      <diagonal/>
    </border>
    <border>
      <left style="thin">
        <color rgb="FFFFFFFF"/>
      </left>
      <right/>
      <top style="thin">
        <color rgb="FFFFFFFF"/>
      </top>
      <bottom style="thin">
        <color indexed="64"/>
      </bottom>
      <diagonal/>
    </border>
    <border>
      <left style="thin">
        <color theme="0"/>
      </left>
      <right style="thin">
        <color theme="0"/>
      </right>
      <top style="thin">
        <color rgb="FFFFFFFF"/>
      </top>
      <bottom style="thin">
        <color theme="0"/>
      </bottom>
      <diagonal/>
    </border>
    <border>
      <left style="medium">
        <color theme="0"/>
      </left>
      <right style="medium">
        <color theme="0"/>
      </right>
      <top style="medium">
        <color theme="0"/>
      </top>
      <bottom style="medium">
        <color theme="0"/>
      </bottom>
      <diagonal/>
    </border>
    <border>
      <left/>
      <right/>
      <top style="medium">
        <color theme="0"/>
      </top>
      <bottom/>
      <diagonal/>
    </border>
    <border>
      <left/>
      <right style="medium">
        <color theme="0"/>
      </right>
      <top style="medium">
        <color theme="0"/>
      </top>
      <bottom/>
      <diagonal/>
    </border>
    <border>
      <left style="medium">
        <color theme="0"/>
      </left>
      <right/>
      <top style="medium">
        <color theme="0"/>
      </top>
      <bottom style="medium">
        <color theme="0"/>
      </bottom>
      <diagonal/>
    </border>
    <border>
      <left style="medium">
        <color theme="0"/>
      </left>
      <right/>
      <top style="medium">
        <color theme="0"/>
      </top>
      <bottom/>
      <diagonal/>
    </border>
    <border>
      <left/>
      <right/>
      <top/>
      <bottom style="medium">
        <color rgb="FF000000"/>
      </bottom>
      <diagonal/>
    </border>
  </borders>
  <cellStyleXfs count="94">
    <xf numFmtId="0" fontId="0" fillId="0" borderId="0"/>
    <xf numFmtId="166" fontId="2" fillId="0" borderId="0" applyFont="0" applyFill="0" applyBorder="0" applyAlignment="0" applyProtection="0"/>
    <xf numFmtId="0" fontId="3" fillId="0" borderId="0"/>
    <xf numFmtId="0" fontId="2" fillId="0" borderId="0"/>
    <xf numFmtId="0" fontId="25"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164" fontId="2" fillId="0" borderId="0" applyFont="0" applyFill="0" applyBorder="0" applyAlignment="0" applyProtection="0"/>
    <xf numFmtId="166" fontId="23"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43" fontId="2" fillId="0" borderId="0" applyFont="0" applyFill="0" applyBorder="0" applyAlignment="0" applyProtection="0"/>
    <xf numFmtId="166" fontId="2" fillId="0" borderId="0" applyFont="0" applyFill="0" applyBorder="0" applyAlignment="0" applyProtection="0"/>
    <xf numFmtId="165" fontId="23" fillId="0" borderId="0" applyFont="0" applyFill="0" applyBorder="0" applyAlignment="0" applyProtection="0"/>
    <xf numFmtId="166" fontId="2" fillId="0" borderId="0" applyFont="0" applyFill="0" applyBorder="0" applyAlignment="0" applyProtection="0"/>
    <xf numFmtId="166" fontId="23" fillId="0" borderId="0" applyFont="0" applyFill="0" applyBorder="0" applyAlignment="0" applyProtection="0"/>
    <xf numFmtId="0" fontId="2"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6" fillId="0" borderId="0"/>
    <xf numFmtId="0" fontId="2" fillId="0" borderId="0"/>
    <xf numFmtId="0" fontId="2" fillId="0" borderId="0"/>
    <xf numFmtId="0" fontId="2" fillId="0" borderId="0"/>
    <xf numFmtId="0" fontId="2" fillId="0" borderId="0"/>
    <xf numFmtId="0" fontId="23" fillId="0" borderId="0"/>
    <xf numFmtId="0" fontId="23" fillId="0" borderId="0"/>
    <xf numFmtId="0" fontId="2" fillId="0" borderId="0" applyNumberFormat="0" applyFill="0" applyBorder="0" applyAlignment="0" applyProtection="0"/>
    <xf numFmtId="0" fontId="26" fillId="0" borderId="0"/>
    <xf numFmtId="0" fontId="2" fillId="0" borderId="0" applyNumberFormat="0" applyFill="0" applyBorder="0" applyAlignment="0" applyProtection="0"/>
    <xf numFmtId="0" fontId="2" fillId="0" borderId="0"/>
    <xf numFmtId="0" fontId="2" fillId="0" borderId="0"/>
    <xf numFmtId="0" fontId="18"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9" fontId="23" fillId="0" borderId="0" applyFont="0" applyFill="0" applyBorder="0" applyAlignment="0" applyProtection="0"/>
  </cellStyleXfs>
  <cellXfs count="681">
    <xf numFmtId="0" fontId="0" fillId="0" borderId="0" xfId="0"/>
    <xf numFmtId="0" fontId="29" fillId="0" borderId="0" xfId="0" applyFont="1" applyAlignment="1">
      <alignment vertical="center"/>
    </xf>
    <xf numFmtId="0" fontId="29" fillId="0" borderId="0" xfId="0" applyFont="1"/>
    <xf numFmtId="0" fontId="30" fillId="0" borderId="0" xfId="0" applyFont="1" applyAlignment="1">
      <alignment vertical="center"/>
    </xf>
    <xf numFmtId="0" fontId="31" fillId="0" borderId="0" xfId="0" applyFont="1" applyAlignment="1">
      <alignment vertical="center"/>
    </xf>
    <xf numFmtId="0" fontId="32" fillId="3" borderId="0" xfId="0" applyFont="1" applyFill="1"/>
    <xf numFmtId="0" fontId="30" fillId="3" borderId="1" xfId="0" applyFont="1" applyFill="1" applyBorder="1"/>
    <xf numFmtId="168" fontId="29" fillId="3" borderId="1" xfId="5" applyNumberFormat="1" applyFont="1" applyFill="1" applyBorder="1"/>
    <xf numFmtId="169" fontId="2" fillId="3" borderId="0" xfId="5" applyNumberFormat="1" applyFont="1" applyFill="1"/>
    <xf numFmtId="0" fontId="29" fillId="3" borderId="2" xfId="0" applyFont="1" applyFill="1" applyBorder="1"/>
    <xf numFmtId="0" fontId="29" fillId="3" borderId="0" xfId="0" applyFont="1" applyFill="1"/>
    <xf numFmtId="0" fontId="29" fillId="0" borderId="0" xfId="0" applyFont="1" applyAlignment="1">
      <alignment horizontal="left" vertical="top" wrapText="1"/>
    </xf>
    <xf numFmtId="0" fontId="30" fillId="3" borderId="0" xfId="0" applyFont="1" applyFill="1"/>
    <xf numFmtId="0" fontId="5" fillId="3" borderId="3" xfId="30" applyFont="1" applyFill="1" applyBorder="1" applyAlignment="1">
      <alignment horizontal="left"/>
    </xf>
    <xf numFmtId="0" fontId="5" fillId="3" borderId="0" xfId="30" applyFont="1" applyFill="1" applyAlignment="1">
      <alignment horizontal="center"/>
    </xf>
    <xf numFmtId="167" fontId="29" fillId="3" borderId="0" xfId="0" applyNumberFormat="1" applyFont="1" applyFill="1"/>
    <xf numFmtId="0" fontId="30" fillId="0" borderId="0" xfId="0" applyFont="1"/>
    <xf numFmtId="167" fontId="5" fillId="3" borderId="4" xfId="13" applyNumberFormat="1" applyFont="1" applyFill="1" applyBorder="1"/>
    <xf numFmtId="0" fontId="2" fillId="3" borderId="0" xfId="30" applyFill="1" applyAlignment="1">
      <alignment horizontal="left"/>
    </xf>
    <xf numFmtId="0" fontId="33" fillId="0" borderId="0" xfId="0" applyFont="1" applyAlignment="1">
      <alignment vertical="center"/>
    </xf>
    <xf numFmtId="14" fontId="5" fillId="3" borderId="0" xfId="30" quotePrefix="1" applyNumberFormat="1" applyFont="1" applyFill="1" applyAlignment="1">
      <alignment horizontal="center"/>
    </xf>
    <xf numFmtId="41" fontId="30" fillId="3" borderId="4" xfId="0" applyNumberFormat="1" applyFont="1" applyFill="1" applyBorder="1"/>
    <xf numFmtId="0" fontId="5" fillId="3" borderId="3" xfId="31" applyFont="1" applyFill="1" applyBorder="1" applyAlignment="1">
      <alignment horizontal="left"/>
    </xf>
    <xf numFmtId="0" fontId="2" fillId="3" borderId="0" xfId="0" applyFont="1" applyFill="1"/>
    <xf numFmtId="169" fontId="34" fillId="0" borderId="0" xfId="5" applyNumberFormat="1" applyFont="1"/>
    <xf numFmtId="0" fontId="5" fillId="3" borderId="0" xfId="31" applyFont="1" applyFill="1"/>
    <xf numFmtId="0" fontId="0" fillId="3" borderId="0" xfId="0" applyFill="1"/>
    <xf numFmtId="0" fontId="5" fillId="0" borderId="0" xfId="0" applyFont="1"/>
    <xf numFmtId="0" fontId="2" fillId="0" borderId="0" xfId="0" applyFont="1"/>
    <xf numFmtId="0" fontId="34" fillId="0" borderId="0" xfId="0" applyFont="1"/>
    <xf numFmtId="0" fontId="34" fillId="0" borderId="5" xfId="0" applyFont="1" applyBorder="1"/>
    <xf numFmtId="0" fontId="34" fillId="0" borderId="6" xfId="0" applyFont="1" applyBorder="1"/>
    <xf numFmtId="0" fontId="34" fillId="0" borderId="3" xfId="0" applyFont="1" applyBorder="1"/>
    <xf numFmtId="0" fontId="34" fillId="0" borderId="7" xfId="0" applyFont="1" applyBorder="1"/>
    <xf numFmtId="0" fontId="29" fillId="4" borderId="0" xfId="0" applyFont="1" applyFill="1"/>
    <xf numFmtId="0" fontId="30" fillId="0" borderId="0" xfId="0" applyFont="1" applyAlignment="1">
      <alignment horizontal="center"/>
    </xf>
    <xf numFmtId="0" fontId="5" fillId="3" borderId="3" xfId="35" applyFont="1" applyFill="1" applyBorder="1" applyAlignment="1">
      <alignment horizontal="left"/>
    </xf>
    <xf numFmtId="0" fontId="6" fillId="3" borderId="0" xfId="35" applyFont="1" applyFill="1" applyBorder="1" applyAlignment="1">
      <alignment horizontal="center"/>
    </xf>
    <xf numFmtId="0" fontId="2" fillId="3" borderId="0" xfId="37" applyFill="1"/>
    <xf numFmtId="3" fontId="2" fillId="3" borderId="0" xfId="37" applyNumberFormat="1" applyFill="1"/>
    <xf numFmtId="0" fontId="5" fillId="3" borderId="0" xfId="37" applyFont="1" applyFill="1"/>
    <xf numFmtId="167" fontId="5" fillId="3" borderId="4" xfId="11" applyNumberFormat="1" applyFont="1" applyFill="1" applyBorder="1"/>
    <xf numFmtId="0" fontId="29" fillId="0" borderId="0" xfId="0" applyFont="1" applyAlignment="1">
      <alignment vertical="top" wrapText="1"/>
    </xf>
    <xf numFmtId="0" fontId="33" fillId="0" borderId="0" xfId="0" applyFont="1"/>
    <xf numFmtId="0" fontId="7" fillId="0" borderId="0" xfId="0" applyFont="1"/>
    <xf numFmtId="167" fontId="7" fillId="0" borderId="0" xfId="5" applyNumberFormat="1" applyFont="1" applyFill="1"/>
    <xf numFmtId="167" fontId="33" fillId="0" borderId="0" xfId="5" applyNumberFormat="1" applyFont="1" applyFill="1"/>
    <xf numFmtId="167" fontId="29" fillId="0" borderId="0" xfId="0" applyNumberFormat="1" applyFont="1"/>
    <xf numFmtId="169" fontId="29" fillId="0" borderId="0" xfId="0" applyNumberFormat="1" applyFont="1"/>
    <xf numFmtId="41" fontId="29" fillId="0" borderId="0" xfId="6" applyFont="1" applyFill="1"/>
    <xf numFmtId="0" fontId="32" fillId="0" borderId="0" xfId="0" applyFont="1"/>
    <xf numFmtId="0" fontId="35" fillId="0" borderId="0" xfId="0" applyFont="1"/>
    <xf numFmtId="167" fontId="35" fillId="0" borderId="0" xfId="5" applyNumberFormat="1" applyFont="1"/>
    <xf numFmtId="167" fontId="5" fillId="0" borderId="4" xfId="5" applyNumberFormat="1" applyFont="1" applyBorder="1"/>
    <xf numFmtId="167" fontId="35" fillId="0" borderId="0" xfId="0" applyNumberFormat="1" applyFont="1"/>
    <xf numFmtId="169" fontId="2" fillId="0" borderId="0" xfId="5" applyNumberFormat="1" applyFont="1"/>
    <xf numFmtId="167" fontId="36" fillId="0" borderId="0" xfId="5" applyNumberFormat="1" applyFont="1"/>
    <xf numFmtId="167" fontId="36" fillId="0" borderId="0" xfId="0" applyNumberFormat="1" applyFont="1"/>
    <xf numFmtId="167" fontId="2" fillId="0" borderId="0" xfId="5" applyNumberFormat="1" applyFont="1"/>
    <xf numFmtId="167" fontId="5" fillId="0" borderId="0" xfId="5" applyNumberFormat="1" applyFont="1"/>
    <xf numFmtId="0" fontId="8" fillId="0" borderId="0" xfId="0" applyFont="1"/>
    <xf numFmtId="167" fontId="8" fillId="0" borderId="0" xfId="5" applyNumberFormat="1" applyFont="1"/>
    <xf numFmtId="0" fontId="2" fillId="0" borderId="0" xfId="33"/>
    <xf numFmtId="167" fontId="29" fillId="0" borderId="0" xfId="5" applyNumberFormat="1" applyFont="1"/>
    <xf numFmtId="167" fontId="29" fillId="0" borderId="0" xfId="5" applyNumberFormat="1" applyFont="1" applyAlignment="1">
      <alignment horizontal="center"/>
    </xf>
    <xf numFmtId="0" fontId="4" fillId="0" borderId="0" xfId="0" applyFont="1"/>
    <xf numFmtId="167" fontId="32" fillId="0" borderId="0" xfId="0" applyNumberFormat="1" applyFont="1"/>
    <xf numFmtId="167" fontId="29" fillId="0" borderId="0" xfId="5" applyNumberFormat="1" applyFont="1" applyFill="1"/>
    <xf numFmtId="167" fontId="34" fillId="0" borderId="0" xfId="5" applyNumberFormat="1" applyFont="1"/>
    <xf numFmtId="41" fontId="30" fillId="3" borderId="0" xfId="0" applyNumberFormat="1" applyFont="1" applyFill="1"/>
    <xf numFmtId="167" fontId="5" fillId="3" borderId="0" xfId="31" applyNumberFormat="1" applyFont="1" applyFill="1"/>
    <xf numFmtId="0" fontId="33" fillId="3" borderId="0" xfId="0" applyFont="1" applyFill="1"/>
    <xf numFmtId="0" fontId="7" fillId="3" borderId="0" xfId="0" applyFont="1" applyFill="1"/>
    <xf numFmtId="0" fontId="8" fillId="0" borderId="0" xfId="0" applyFont="1" applyAlignment="1">
      <alignment horizontal="center"/>
    </xf>
    <xf numFmtId="167" fontId="34" fillId="0" borderId="0" xfId="5" applyNumberFormat="1" applyFont="1" applyAlignment="1">
      <alignment horizontal="center"/>
    </xf>
    <xf numFmtId="0" fontId="9" fillId="0" borderId="0" xfId="0" applyFont="1"/>
    <xf numFmtId="167" fontId="29" fillId="0" borderId="0" xfId="5" applyNumberFormat="1" applyFont="1" applyBorder="1"/>
    <xf numFmtId="0" fontId="29" fillId="0" borderId="0" xfId="0" applyFont="1" applyAlignment="1">
      <alignment horizontal="left"/>
    </xf>
    <xf numFmtId="167" fontId="29" fillId="0" borderId="0" xfId="5" applyNumberFormat="1" applyFont="1" applyBorder="1" applyAlignment="1">
      <alignment horizontal="center"/>
    </xf>
    <xf numFmtId="167" fontId="5" fillId="0" borderId="0" xfId="5" applyNumberFormat="1" applyFont="1" applyBorder="1"/>
    <xf numFmtId="167" fontId="2" fillId="0" borderId="0" xfId="5" applyNumberFormat="1" applyFont="1" applyBorder="1"/>
    <xf numFmtId="167" fontId="36" fillId="0" borderId="0" xfId="5" applyNumberFormat="1" applyFont="1" applyBorder="1"/>
    <xf numFmtId="0" fontId="29" fillId="0" borderId="8" xfId="0" applyFont="1" applyBorder="1"/>
    <xf numFmtId="0" fontId="29" fillId="0" borderId="5" xfId="0" applyFont="1" applyBorder="1"/>
    <xf numFmtId="0" fontId="28" fillId="0" borderId="0" xfId="0" applyFont="1"/>
    <xf numFmtId="43" fontId="29" fillId="0" borderId="0" xfId="5" applyFont="1" applyFill="1"/>
    <xf numFmtId="167" fontId="37" fillId="5" borderId="0" xfId="0" applyNumberFormat="1" applyFont="1" applyFill="1" applyAlignment="1">
      <alignment horizontal="center" vertical="center"/>
    </xf>
    <xf numFmtId="0" fontId="38" fillId="6" borderId="0" xfId="0" applyFont="1" applyFill="1" applyAlignment="1">
      <alignment vertical="center"/>
    </xf>
    <xf numFmtId="167" fontId="38" fillId="6" borderId="0" xfId="5" applyNumberFormat="1" applyFont="1" applyFill="1" applyBorder="1"/>
    <xf numFmtId="167" fontId="38" fillId="6" borderId="0" xfId="5" applyNumberFormat="1" applyFont="1" applyFill="1" applyBorder="1" applyAlignment="1">
      <alignment vertical="center"/>
    </xf>
    <xf numFmtId="0" fontId="37" fillId="5" borderId="0" xfId="0" applyFont="1" applyFill="1" applyAlignment="1">
      <alignment horizontal="center" vertical="center"/>
    </xf>
    <xf numFmtId="0" fontId="39" fillId="5" borderId="0" xfId="0" applyFont="1" applyFill="1"/>
    <xf numFmtId="0" fontId="30" fillId="3" borderId="1" xfId="0" applyFont="1" applyFill="1" applyBorder="1" applyAlignment="1">
      <alignment horizontal="center" vertical="center" wrapText="1"/>
    </xf>
    <xf numFmtId="9" fontId="29" fillId="3" borderId="7" xfId="93" applyFont="1" applyFill="1" applyBorder="1"/>
    <xf numFmtId="0" fontId="4" fillId="7" borderId="1" xfId="18" applyFont="1" applyFill="1" applyBorder="1"/>
    <xf numFmtId="169" fontId="4" fillId="7" borderId="1" xfId="14" applyNumberFormat="1" applyFont="1" applyFill="1" applyBorder="1"/>
    <xf numFmtId="0" fontId="36" fillId="3" borderId="0" xfId="0" applyFont="1" applyFill="1"/>
    <xf numFmtId="169" fontId="5" fillId="3" borderId="0" xfId="5" applyNumberFormat="1" applyFont="1" applyFill="1" applyBorder="1"/>
    <xf numFmtId="0" fontId="5" fillId="0" borderId="0" xfId="0" applyFont="1" applyAlignment="1">
      <alignment wrapText="1"/>
    </xf>
    <xf numFmtId="0" fontId="29" fillId="0" borderId="0" xfId="0" applyFont="1" applyAlignment="1">
      <alignment wrapText="1"/>
    </xf>
    <xf numFmtId="169" fontId="39" fillId="5" borderId="0" xfId="5" applyNumberFormat="1" applyFont="1" applyFill="1" applyBorder="1"/>
    <xf numFmtId="0" fontId="31" fillId="2" borderId="0" xfId="0" applyFont="1" applyFill="1" applyAlignment="1">
      <alignment vertical="center"/>
    </xf>
    <xf numFmtId="0" fontId="29" fillId="2" borderId="0" xfId="0" applyFont="1" applyFill="1"/>
    <xf numFmtId="0" fontId="0" fillId="2" borderId="0" xfId="0" applyFill="1"/>
    <xf numFmtId="168" fontId="29" fillId="3" borderId="9" xfId="5" applyNumberFormat="1" applyFont="1" applyFill="1" applyBorder="1"/>
    <xf numFmtId="0" fontId="40" fillId="3" borderId="1" xfId="0" applyFont="1" applyFill="1" applyBorder="1"/>
    <xf numFmtId="0" fontId="0" fillId="2" borderId="3" xfId="0" applyFill="1" applyBorder="1"/>
    <xf numFmtId="0" fontId="28" fillId="2" borderId="3" xfId="0" applyFont="1" applyFill="1" applyBorder="1" applyAlignment="1">
      <alignment horizontal="center"/>
    </xf>
    <xf numFmtId="0" fontId="28" fillId="2" borderId="0" xfId="0" applyFont="1" applyFill="1"/>
    <xf numFmtId="0" fontId="28" fillId="0" borderId="3" xfId="0" applyFont="1" applyBorder="1" applyAlignment="1">
      <alignment horizontal="center"/>
    </xf>
    <xf numFmtId="0" fontId="28" fillId="0" borderId="3" xfId="0" applyFont="1" applyBorder="1" applyAlignment="1">
      <alignment horizontal="center" vertical="center"/>
    </xf>
    <xf numFmtId="0" fontId="27" fillId="2" borderId="0" xfId="0" applyFont="1" applyFill="1"/>
    <xf numFmtId="0" fontId="29" fillId="0" borderId="0" xfId="0" applyFont="1" applyAlignment="1">
      <alignment vertical="justify" wrapText="1"/>
    </xf>
    <xf numFmtId="0" fontId="30" fillId="0" borderId="0" xfId="0" applyFont="1" applyAlignment="1">
      <alignment horizontal="left" vertical="top" wrapText="1"/>
    </xf>
    <xf numFmtId="0" fontId="30" fillId="0" borderId="0" xfId="0" applyFont="1" applyAlignment="1">
      <alignment vertical="top" wrapText="1"/>
    </xf>
    <xf numFmtId="0" fontId="29" fillId="2" borderId="0" xfId="0" applyFont="1" applyFill="1" applyAlignment="1">
      <alignment vertical="justify" wrapText="1"/>
    </xf>
    <xf numFmtId="0" fontId="29" fillId="2" borderId="0" xfId="0" applyFont="1" applyFill="1" applyAlignment="1">
      <alignment horizontal="left" vertical="top" wrapText="1"/>
    </xf>
    <xf numFmtId="0" fontId="29" fillId="2" borderId="0" xfId="0" applyFont="1" applyFill="1" applyAlignment="1">
      <alignment vertical="top" wrapText="1"/>
    </xf>
    <xf numFmtId="0" fontId="30" fillId="2" borderId="0" xfId="0" applyFont="1" applyFill="1" applyAlignment="1">
      <alignment vertical="top" wrapText="1"/>
    </xf>
    <xf numFmtId="0" fontId="30" fillId="2" borderId="0" xfId="0" applyFont="1" applyFill="1" applyAlignment="1">
      <alignment vertical="justify" wrapText="1"/>
    </xf>
    <xf numFmtId="0" fontId="30" fillId="2" borderId="0" xfId="0" applyFont="1" applyFill="1" applyAlignment="1">
      <alignment horizontal="center" vertical="center" wrapText="1"/>
    </xf>
    <xf numFmtId="0" fontId="25" fillId="0" borderId="0" xfId="4"/>
    <xf numFmtId="0" fontId="25" fillId="2" borderId="0" xfId="4" applyFill="1"/>
    <xf numFmtId="0" fontId="38" fillId="3" borderId="0" xfId="0" applyFont="1" applyFill="1" applyAlignment="1">
      <alignment horizontal="left" vertical="center"/>
    </xf>
    <xf numFmtId="0" fontId="27" fillId="0" borderId="0" xfId="0" applyFont="1"/>
    <xf numFmtId="0" fontId="38" fillId="3" borderId="0" xfId="0" applyFont="1" applyFill="1" applyAlignment="1">
      <alignment vertical="center"/>
    </xf>
    <xf numFmtId="0" fontId="25" fillId="3" borderId="0" xfId="4" applyFill="1"/>
    <xf numFmtId="0" fontId="28" fillId="3" borderId="0" xfId="0" applyFont="1" applyFill="1"/>
    <xf numFmtId="0" fontId="31" fillId="2" borderId="0" xfId="0" applyFont="1" applyFill="1"/>
    <xf numFmtId="169" fontId="31" fillId="2" borderId="0" xfId="10" applyNumberFormat="1" applyFont="1" applyFill="1" applyBorder="1"/>
    <xf numFmtId="9" fontId="31" fillId="2" borderId="0" xfId="93" applyFont="1" applyFill="1" applyBorder="1"/>
    <xf numFmtId="3" fontId="31" fillId="2" borderId="0" xfId="0" applyNumberFormat="1" applyFont="1" applyFill="1"/>
    <xf numFmtId="0" fontId="41" fillId="2" borderId="0" xfId="0" applyFont="1" applyFill="1"/>
    <xf numFmtId="41" fontId="31" fillId="2" borderId="10" xfId="6" applyFont="1" applyFill="1" applyBorder="1"/>
    <xf numFmtId="0" fontId="41" fillId="2" borderId="0" xfId="0" applyFont="1" applyFill="1" applyAlignment="1">
      <alignment vertical="center" wrapText="1"/>
    </xf>
    <xf numFmtId="0" fontId="0" fillId="6" borderId="0" xfId="0" applyFill="1"/>
    <xf numFmtId="0" fontId="11" fillId="3" borderId="0" xfId="18" applyFont="1" applyFill="1"/>
    <xf numFmtId="0" fontId="11" fillId="2" borderId="0" xfId="18" applyFont="1" applyFill="1"/>
    <xf numFmtId="0" fontId="42" fillId="2" borderId="0" xfId="18" applyFont="1" applyFill="1"/>
    <xf numFmtId="0" fontId="11" fillId="2" borderId="8" xfId="18" applyFont="1" applyFill="1" applyBorder="1"/>
    <xf numFmtId="169" fontId="4" fillId="2" borderId="11" xfId="14" applyNumberFormat="1" applyFont="1" applyFill="1" applyBorder="1"/>
    <xf numFmtId="169" fontId="11" fillId="2" borderId="11" xfId="14" applyNumberFormat="1" applyFont="1" applyFill="1" applyBorder="1"/>
    <xf numFmtId="169" fontId="4" fillId="2" borderId="5" xfId="14" applyNumberFormat="1" applyFont="1" applyFill="1" applyBorder="1"/>
    <xf numFmtId="169" fontId="11" fillId="2" borderId="0" xfId="18" applyNumberFormat="1" applyFont="1" applyFill="1"/>
    <xf numFmtId="0" fontId="29" fillId="0" borderId="0" xfId="0" applyFont="1" applyAlignment="1">
      <alignment horizontal="left" vertical="justify" wrapText="1"/>
    </xf>
    <xf numFmtId="0" fontId="2" fillId="0" borderId="0" xfId="0" applyFont="1" applyAlignment="1">
      <alignment horizontal="left" vertical="justify" wrapText="1"/>
    </xf>
    <xf numFmtId="0" fontId="27" fillId="2" borderId="3" xfId="0" applyFont="1" applyFill="1" applyBorder="1"/>
    <xf numFmtId="0" fontId="0" fillId="2" borderId="8" xfId="0" applyFill="1" applyBorder="1"/>
    <xf numFmtId="0" fontId="0" fillId="2" borderId="5" xfId="0" applyFill="1" applyBorder="1"/>
    <xf numFmtId="0" fontId="44" fillId="2" borderId="0" xfId="0" applyFont="1" applyFill="1"/>
    <xf numFmtId="0" fontId="44" fillId="0" borderId="0" xfId="0" applyFont="1"/>
    <xf numFmtId="0" fontId="45" fillId="0" borderId="12" xfId="0" applyFont="1" applyBorder="1" applyAlignment="1">
      <alignment horizontal="center" vertical="center" wrapText="1"/>
    </xf>
    <xf numFmtId="0" fontId="45" fillId="0" borderId="13" xfId="0" applyFont="1" applyBorder="1" applyAlignment="1">
      <alignment horizontal="center" vertical="center" wrapText="1"/>
    </xf>
    <xf numFmtId="0" fontId="44" fillId="2" borderId="14" xfId="0" applyFont="1" applyFill="1" applyBorder="1" applyAlignment="1">
      <alignment vertical="top" wrapText="1"/>
    </xf>
    <xf numFmtId="0" fontId="44" fillId="2" borderId="15" xfId="0" applyFont="1" applyFill="1" applyBorder="1" applyAlignment="1">
      <alignment vertical="top" wrapText="1"/>
    </xf>
    <xf numFmtId="0" fontId="46" fillId="0" borderId="15" xfId="0" applyFont="1" applyBorder="1" applyAlignment="1">
      <alignment vertical="center" wrapText="1"/>
    </xf>
    <xf numFmtId="0" fontId="46" fillId="0" borderId="16" xfId="0" applyFont="1" applyBorder="1" applyAlignment="1">
      <alignment vertical="center" wrapText="1"/>
    </xf>
    <xf numFmtId="0" fontId="46" fillId="0" borderId="17" xfId="0" applyFont="1" applyBorder="1" applyAlignment="1">
      <alignment horizontal="center" vertical="center" wrapText="1"/>
    </xf>
    <xf numFmtId="0" fontId="46" fillId="0" borderId="18" xfId="0" applyFont="1" applyBorder="1" applyAlignment="1">
      <alignment horizontal="center" vertical="center" wrapText="1"/>
    </xf>
    <xf numFmtId="0" fontId="46" fillId="0" borderId="18" xfId="0" applyFont="1" applyBorder="1" applyAlignment="1">
      <alignment vertical="center" wrapText="1"/>
    </xf>
    <xf numFmtId="0" fontId="46" fillId="0" borderId="19" xfId="0" applyFont="1" applyBorder="1" applyAlignment="1">
      <alignment vertical="center" wrapText="1"/>
    </xf>
    <xf numFmtId="0" fontId="46" fillId="0" borderId="20" xfId="0" applyFont="1" applyBorder="1" applyAlignment="1">
      <alignment horizontal="center" vertical="center" wrapText="1"/>
    </xf>
    <xf numFmtId="0" fontId="46" fillId="0" borderId="21" xfId="0" applyFont="1" applyBorder="1" applyAlignment="1">
      <alignment horizontal="center" vertical="center" wrapText="1"/>
    </xf>
    <xf numFmtId="0" fontId="46" fillId="0" borderId="21" xfId="0" applyFont="1" applyBorder="1" applyAlignment="1">
      <alignment vertical="center" wrapText="1"/>
    </xf>
    <xf numFmtId="0" fontId="46" fillId="0" borderId="22" xfId="0" applyFont="1" applyBorder="1" applyAlignment="1">
      <alignment vertical="center" wrapText="1"/>
    </xf>
    <xf numFmtId="0" fontId="46" fillId="2" borderId="0" xfId="0" applyFont="1" applyFill="1"/>
    <xf numFmtId="0" fontId="46" fillId="0" borderId="0" xfId="0" applyFont="1"/>
    <xf numFmtId="0" fontId="32" fillId="0" borderId="0" xfId="0" applyFont="1" applyAlignment="1">
      <alignment horizontal="left" vertical="justify" wrapText="1"/>
    </xf>
    <xf numFmtId="0" fontId="45" fillId="0" borderId="3" xfId="0" applyFont="1" applyBorder="1" applyAlignment="1">
      <alignment horizontal="center" wrapText="1"/>
    </xf>
    <xf numFmtId="0" fontId="0" fillId="2" borderId="1" xfId="0" applyFill="1" applyBorder="1"/>
    <xf numFmtId="0" fontId="32" fillId="5" borderId="0" xfId="0" applyFont="1" applyFill="1"/>
    <xf numFmtId="0" fontId="29" fillId="3" borderId="0" xfId="0" applyFont="1" applyFill="1" applyAlignment="1">
      <alignment horizontal="center" vertical="center"/>
    </xf>
    <xf numFmtId="0" fontId="25" fillId="3" borderId="0" xfId="4" applyFill="1" applyAlignment="1">
      <alignment horizontal="center" vertical="center"/>
    </xf>
    <xf numFmtId="170" fontId="47" fillId="5" borderId="0" xfId="5" applyNumberFormat="1" applyFont="1" applyFill="1" applyAlignment="1">
      <alignment horizontal="center" vertical="center"/>
    </xf>
    <xf numFmtId="0" fontId="47" fillId="3" borderId="0" xfId="0" applyFont="1" applyFill="1" applyAlignment="1">
      <alignment horizontal="center" vertical="center"/>
    </xf>
    <xf numFmtId="0" fontId="48" fillId="3" borderId="0" xfId="0" applyFont="1" applyFill="1" applyAlignment="1">
      <alignment horizontal="center" vertical="center"/>
    </xf>
    <xf numFmtId="167" fontId="29" fillId="3" borderId="0" xfId="0" applyNumberFormat="1" applyFont="1" applyFill="1" applyAlignment="1">
      <alignment horizontal="center" vertical="center"/>
    </xf>
    <xf numFmtId="0" fontId="5" fillId="3" borderId="0" xfId="0" applyFont="1" applyFill="1" applyAlignment="1">
      <alignment horizontal="center" vertical="center"/>
    </xf>
    <xf numFmtId="0" fontId="10" fillId="3" borderId="0" xfId="0" applyFont="1" applyFill="1" applyAlignment="1">
      <alignment horizontal="center" vertical="center"/>
    </xf>
    <xf numFmtId="0" fontId="32" fillId="3" borderId="0" xfId="0" applyFont="1" applyFill="1" applyAlignment="1">
      <alignment horizontal="center" vertical="center"/>
    </xf>
    <xf numFmtId="0" fontId="25" fillId="0" borderId="0" xfId="4" applyAlignment="1">
      <alignment horizontal="center"/>
    </xf>
    <xf numFmtId="43" fontId="29" fillId="3" borderId="0" xfId="5" applyFont="1" applyFill="1" applyAlignment="1">
      <alignment horizontal="center" vertical="center"/>
    </xf>
    <xf numFmtId="0" fontId="34" fillId="0" borderId="0" xfId="0" applyFont="1" applyAlignment="1">
      <alignment horizontal="center"/>
    </xf>
    <xf numFmtId="0" fontId="4" fillId="0" borderId="23" xfId="0" applyFont="1" applyBorder="1" applyAlignment="1">
      <alignment vertical="center" wrapText="1"/>
    </xf>
    <xf numFmtId="0" fontId="0" fillId="3" borderId="0" xfId="0" quotePrefix="1" applyFill="1"/>
    <xf numFmtId="0" fontId="38" fillId="3" borderId="0" xfId="0" applyFont="1" applyFill="1" applyAlignment="1">
      <alignment horizontal="left"/>
    </xf>
    <xf numFmtId="0" fontId="49" fillId="0" borderId="8" xfId="0" applyFont="1" applyBorder="1" applyAlignment="1">
      <alignment horizontal="left" vertical="top" wrapText="1"/>
    </xf>
    <xf numFmtId="0" fontId="49" fillId="0" borderId="0" xfId="0" applyFont="1" applyAlignment="1">
      <alignment horizontal="left" vertical="top" wrapText="1"/>
    </xf>
    <xf numFmtId="0" fontId="49" fillId="0" borderId="5" xfId="0" applyFont="1" applyBorder="1" applyAlignment="1">
      <alignment horizontal="left" vertical="top" wrapText="1"/>
    </xf>
    <xf numFmtId="168" fontId="29" fillId="0" borderId="1" xfId="5" applyNumberFormat="1" applyFont="1" applyFill="1" applyBorder="1"/>
    <xf numFmtId="0" fontId="2" fillId="2" borderId="0" xfId="0" applyFont="1" applyFill="1"/>
    <xf numFmtId="0" fontId="29" fillId="3" borderId="1" xfId="0" applyFont="1" applyFill="1" applyBorder="1"/>
    <xf numFmtId="0" fontId="29" fillId="3" borderId="24" xfId="0" applyFont="1" applyFill="1" applyBorder="1"/>
    <xf numFmtId="0" fontId="2" fillId="3" borderId="0" xfId="30" quotePrefix="1" applyFill="1"/>
    <xf numFmtId="0" fontId="50" fillId="0" borderId="1" xfId="0" applyFont="1" applyBorder="1" applyAlignment="1">
      <alignment horizontal="center" vertical="center" wrapText="1"/>
    </xf>
    <xf numFmtId="0" fontId="38" fillId="0" borderId="0" xfId="0" applyFont="1" applyAlignment="1">
      <alignment vertical="center"/>
    </xf>
    <xf numFmtId="0" fontId="38" fillId="2" borderId="0" xfId="0" applyFont="1" applyFill="1" applyAlignment="1">
      <alignment vertical="center"/>
    </xf>
    <xf numFmtId="41" fontId="23" fillId="2" borderId="10" xfId="6" applyFont="1" applyFill="1" applyBorder="1"/>
    <xf numFmtId="0" fontId="51" fillId="3" borderId="0" xfId="0" applyFont="1" applyFill="1"/>
    <xf numFmtId="41" fontId="29" fillId="0" borderId="10" xfId="6" applyFont="1" applyBorder="1" applyAlignment="1">
      <alignment vertical="top" wrapText="1"/>
    </xf>
    <xf numFmtId="41" fontId="23" fillId="0" borderId="10" xfId="6" applyFont="1" applyBorder="1"/>
    <xf numFmtId="0" fontId="31" fillId="2" borderId="0" xfId="0" quotePrefix="1" applyFont="1" applyFill="1"/>
    <xf numFmtId="0" fontId="24" fillId="0" borderId="0" xfId="0" applyFont="1" applyAlignment="1">
      <alignment horizontal="center" vertical="center"/>
    </xf>
    <xf numFmtId="0" fontId="32" fillId="0" borderId="8" xfId="0" applyFont="1" applyBorder="1" applyAlignment="1">
      <alignment horizontal="justify" vertical="justify" wrapText="1"/>
    </xf>
    <xf numFmtId="0" fontId="32" fillId="0" borderId="0" xfId="0" applyFont="1" applyAlignment="1">
      <alignment horizontal="justify" vertical="justify" wrapText="1"/>
    </xf>
    <xf numFmtId="0" fontId="32" fillId="0" borderId="5" xfId="0" applyFont="1" applyBorder="1" applyAlignment="1">
      <alignment horizontal="justify" vertical="justify" wrapText="1"/>
    </xf>
    <xf numFmtId="0" fontId="29" fillId="0" borderId="0" xfId="0" applyFont="1" applyAlignment="1">
      <alignment horizontal="justify" vertical="justify" wrapText="1"/>
    </xf>
    <xf numFmtId="0" fontId="29" fillId="0" borderId="5" xfId="0" applyFont="1" applyBorder="1" applyAlignment="1">
      <alignment horizontal="justify" vertical="justify" wrapText="1"/>
    </xf>
    <xf numFmtId="0" fontId="29" fillId="4" borderId="0" xfId="0" applyFont="1" applyFill="1" applyAlignment="1">
      <alignment horizontal="left"/>
    </xf>
    <xf numFmtId="0" fontId="52" fillId="0" borderId="0" xfId="4" quotePrefix="1" applyFont="1" applyBorder="1" applyAlignment="1">
      <alignment horizontal="left"/>
    </xf>
    <xf numFmtId="0" fontId="0" fillId="0" borderId="0" xfId="0" applyAlignment="1">
      <alignment vertical="justify" wrapText="1"/>
    </xf>
    <xf numFmtId="41" fontId="45" fillId="2" borderId="0" xfId="6" applyFont="1" applyFill="1" applyBorder="1"/>
    <xf numFmtId="0" fontId="53" fillId="2" borderId="0" xfId="0" applyFont="1" applyFill="1"/>
    <xf numFmtId="0" fontId="53" fillId="2" borderId="5" xfId="0" applyFont="1" applyFill="1" applyBorder="1"/>
    <xf numFmtId="0" fontId="54" fillId="2" borderId="0" xfId="0" applyFont="1" applyFill="1"/>
    <xf numFmtId="0" fontId="55" fillId="0" borderId="0" xfId="0" applyFont="1" applyAlignment="1">
      <alignment horizontal="justify" vertical="center"/>
    </xf>
    <xf numFmtId="0" fontId="38" fillId="5" borderId="0" xfId="0" applyFont="1" applyFill="1"/>
    <xf numFmtId="0" fontId="55" fillId="0" borderId="0" xfId="0" applyFont="1" applyAlignment="1">
      <alignment vertical="center"/>
    </xf>
    <xf numFmtId="0" fontId="56" fillId="0" borderId="1" xfId="0" applyFont="1" applyBorder="1" applyAlignment="1">
      <alignment horizontal="justify" vertical="center" wrapText="1"/>
    </xf>
    <xf numFmtId="0" fontId="56" fillId="0" borderId="1" xfId="0" applyFont="1" applyBorder="1" applyAlignment="1">
      <alignment horizontal="center" vertical="center" wrapText="1"/>
    </xf>
    <xf numFmtId="0" fontId="56" fillId="0" borderId="1" xfId="0" applyFont="1" applyBorder="1" applyAlignment="1">
      <alignment horizontal="right" vertical="center" wrapText="1"/>
    </xf>
    <xf numFmtId="0" fontId="57" fillId="5" borderId="1" xfId="0" applyFont="1" applyFill="1" applyBorder="1" applyAlignment="1">
      <alignment horizontal="justify" vertical="center" wrapText="1"/>
    </xf>
    <xf numFmtId="0" fontId="58" fillId="5" borderId="1" xfId="0" applyFont="1" applyFill="1" applyBorder="1" applyAlignment="1">
      <alignment horizontal="right" vertical="center" wrapText="1"/>
    </xf>
    <xf numFmtId="0" fontId="58" fillId="5" borderId="1" xfId="0" applyFont="1" applyFill="1" applyBorder="1" applyAlignment="1">
      <alignment horizontal="center" vertical="center" wrapText="1"/>
    </xf>
    <xf numFmtId="0" fontId="56" fillId="2" borderId="0" xfId="0" applyFont="1" applyFill="1" applyAlignment="1">
      <alignment vertical="center" wrapText="1"/>
    </xf>
    <xf numFmtId="0" fontId="56" fillId="2" borderId="0" xfId="0" applyFont="1" applyFill="1" applyAlignment="1">
      <alignment vertical="center"/>
    </xf>
    <xf numFmtId="0" fontId="51" fillId="3" borderId="0" xfId="0" applyFont="1" applyFill="1" applyAlignment="1">
      <alignment horizontal="center"/>
    </xf>
    <xf numFmtId="0" fontId="0" fillId="2" borderId="24" xfId="0" applyFill="1" applyBorder="1" applyAlignment="1">
      <alignment horizontal="center" vertical="center" wrapText="1"/>
    </xf>
    <xf numFmtId="0" fontId="38" fillId="6" borderId="0" xfId="0" applyFont="1" applyFill="1" applyAlignment="1">
      <alignment horizontal="center" vertical="center" wrapText="1"/>
    </xf>
    <xf numFmtId="0" fontId="28" fillId="2" borderId="0" xfId="0" applyFont="1" applyFill="1" applyAlignment="1">
      <alignment horizontal="center" vertical="center"/>
    </xf>
    <xf numFmtId="0" fontId="5" fillId="3" borderId="0" xfId="0" applyFont="1" applyFill="1" applyAlignment="1">
      <alignment vertical="center"/>
    </xf>
    <xf numFmtId="169" fontId="2" fillId="3" borderId="0" xfId="5" applyNumberFormat="1" applyFont="1" applyFill="1" applyBorder="1"/>
    <xf numFmtId="0" fontId="47" fillId="5" borderId="0" xfId="5" applyNumberFormat="1" applyFont="1" applyFill="1" applyAlignment="1">
      <alignment horizontal="center"/>
    </xf>
    <xf numFmtId="0" fontId="0" fillId="2" borderId="24" xfId="0" applyFill="1" applyBorder="1" applyAlignment="1">
      <alignment vertical="center" wrapText="1"/>
    </xf>
    <xf numFmtId="0" fontId="0" fillId="2" borderId="1" xfId="0" applyFill="1" applyBorder="1" applyAlignment="1">
      <alignment vertical="center" wrapText="1"/>
    </xf>
    <xf numFmtId="0" fontId="44" fillId="2" borderId="0" xfId="0" applyFont="1" applyFill="1" applyAlignment="1">
      <alignment horizontal="center"/>
    </xf>
    <xf numFmtId="0" fontId="59" fillId="2" borderId="0" xfId="0" applyFont="1" applyFill="1" applyAlignment="1">
      <alignment horizontal="center"/>
    </xf>
    <xf numFmtId="0" fontId="60" fillId="0" borderId="1" xfId="0" applyFont="1" applyBorder="1" applyAlignment="1">
      <alignment horizontal="center" vertical="center" wrapText="1"/>
    </xf>
    <xf numFmtId="0" fontId="0" fillId="0" borderId="0" xfId="0" applyAlignment="1">
      <alignment horizontal="center"/>
    </xf>
    <xf numFmtId="0" fontId="38" fillId="5" borderId="0" xfId="0" applyFont="1" applyFill="1" applyAlignment="1">
      <alignment vertical="center"/>
    </xf>
    <xf numFmtId="0" fontId="5" fillId="3" borderId="3" xfId="30" applyFont="1" applyFill="1" applyBorder="1" applyAlignment="1">
      <alignment horizontal="center"/>
    </xf>
    <xf numFmtId="0" fontId="61" fillId="3" borderId="0" xfId="0" applyFont="1" applyFill="1"/>
    <xf numFmtId="169" fontId="2" fillId="3" borderId="4" xfId="5" applyNumberFormat="1" applyFont="1" applyFill="1" applyBorder="1"/>
    <xf numFmtId="0" fontId="2" fillId="3" borderId="0" xfId="30" applyFill="1" applyAlignment="1">
      <alignment horizontal="center"/>
    </xf>
    <xf numFmtId="0" fontId="33" fillId="0" borderId="0" xfId="0" applyFont="1" applyAlignment="1">
      <alignment horizontal="center" vertical="center"/>
    </xf>
    <xf numFmtId="0" fontId="29" fillId="0" borderId="25" xfId="0" applyFont="1" applyBorder="1"/>
    <xf numFmtId="0" fontId="5" fillId="3" borderId="10" xfId="0" applyFont="1" applyFill="1" applyBorder="1" applyAlignment="1">
      <alignment horizontal="center" vertical="center"/>
    </xf>
    <xf numFmtId="0" fontId="5" fillId="3" borderId="8" xfId="0" applyFont="1" applyFill="1" applyBorder="1" applyAlignment="1">
      <alignment vertical="center"/>
    </xf>
    <xf numFmtId="0" fontId="29" fillId="0" borderId="6" xfId="0" applyFont="1" applyBorder="1"/>
    <xf numFmtId="0" fontId="30" fillId="0" borderId="24" xfId="0" applyFont="1" applyBorder="1" applyAlignment="1">
      <alignment horizontal="center" vertical="center"/>
    </xf>
    <xf numFmtId="0" fontId="30" fillId="0" borderId="11" xfId="0" applyFont="1" applyBorder="1" applyAlignment="1">
      <alignment horizontal="center" vertical="center"/>
    </xf>
    <xf numFmtId="0" fontId="25" fillId="0" borderId="11" xfId="4" applyBorder="1" applyAlignment="1">
      <alignment horizontal="center"/>
    </xf>
    <xf numFmtId="0" fontId="25" fillId="0" borderId="11" xfId="4" quotePrefix="1" applyBorder="1" applyAlignment="1">
      <alignment horizontal="center"/>
    </xf>
    <xf numFmtId="0" fontId="52" fillId="0" borderId="11" xfId="4" quotePrefix="1" applyFont="1" applyBorder="1" applyAlignment="1">
      <alignment horizontal="center"/>
    </xf>
    <xf numFmtId="1" fontId="47" fillId="5" borderId="0" xfId="5" applyNumberFormat="1" applyFont="1" applyFill="1" applyAlignment="1">
      <alignment horizontal="center"/>
    </xf>
    <xf numFmtId="167" fontId="25" fillId="0" borderId="0" xfId="4" applyNumberFormat="1" applyAlignment="1">
      <alignment horizontal="center" vertical="center"/>
    </xf>
    <xf numFmtId="0" fontId="62" fillId="5" borderId="0" xfId="0" applyFont="1" applyFill="1" applyAlignment="1">
      <alignment vertical="center"/>
    </xf>
    <xf numFmtId="0" fontId="61" fillId="2" borderId="0" xfId="0" applyFont="1" applyFill="1" applyAlignment="1">
      <alignment horizontal="left" vertical="top" wrapText="1"/>
    </xf>
    <xf numFmtId="0" fontId="0" fillId="0" borderId="3" xfId="0" applyBorder="1"/>
    <xf numFmtId="0" fontId="0" fillId="0" borderId="3" xfId="0" applyBorder="1" applyAlignment="1">
      <alignment horizontal="center"/>
    </xf>
    <xf numFmtId="0" fontId="0" fillId="2" borderId="0" xfId="0" applyFill="1" applyAlignment="1">
      <alignment horizontal="left" vertical="center"/>
    </xf>
    <xf numFmtId="0" fontId="28" fillId="2" borderId="3" xfId="0" applyFont="1" applyFill="1" applyBorder="1"/>
    <xf numFmtId="0" fontId="53" fillId="2" borderId="0" xfId="0" applyFont="1" applyFill="1" applyAlignment="1">
      <alignment horizontal="center"/>
    </xf>
    <xf numFmtId="0" fontId="38" fillId="5" borderId="25" xfId="0" applyFont="1" applyFill="1" applyBorder="1" applyAlignment="1">
      <alignment vertical="center"/>
    </xf>
    <xf numFmtId="0" fontId="38" fillId="5" borderId="10" xfId="0" applyFont="1" applyFill="1" applyBorder="1" applyAlignment="1">
      <alignment vertical="center"/>
    </xf>
    <xf numFmtId="0" fontId="38" fillId="5" borderId="26" xfId="0" applyFont="1" applyFill="1" applyBorder="1" applyAlignment="1">
      <alignment vertical="center"/>
    </xf>
    <xf numFmtId="0" fontId="38" fillId="5" borderId="0" xfId="0" applyFont="1" applyFill="1" applyAlignment="1">
      <alignment horizontal="center" vertical="center" wrapText="1"/>
    </xf>
    <xf numFmtId="0" fontId="38" fillId="5" borderId="0" xfId="0" applyFont="1" applyFill="1" applyAlignment="1">
      <alignment horizontal="left" vertical="center"/>
    </xf>
    <xf numFmtId="0" fontId="63" fillId="3" borderId="0" xfId="0" applyFont="1" applyFill="1"/>
    <xf numFmtId="0" fontId="63" fillId="0" borderId="0" xfId="0" applyFont="1"/>
    <xf numFmtId="3" fontId="29" fillId="0" borderId="0" xfId="6" applyNumberFormat="1" applyFont="1" applyFill="1" applyAlignment="1">
      <alignment horizontal="center"/>
    </xf>
    <xf numFmtId="3" fontId="29" fillId="0" borderId="0" xfId="5" applyNumberFormat="1" applyFont="1" applyFill="1" applyAlignment="1">
      <alignment horizontal="center"/>
    </xf>
    <xf numFmtId="3" fontId="29" fillId="0" borderId="0" xfId="0" applyNumberFormat="1" applyFont="1" applyAlignment="1">
      <alignment horizontal="center"/>
    </xf>
    <xf numFmtId="3" fontId="30" fillId="0" borderId="0" xfId="5" applyNumberFormat="1" applyFont="1" applyFill="1" applyAlignment="1">
      <alignment horizontal="center"/>
    </xf>
    <xf numFmtId="3" fontId="5" fillId="0" borderId="0" xfId="5" applyNumberFormat="1" applyFont="1" applyFill="1" applyAlignment="1">
      <alignment horizontal="center"/>
    </xf>
    <xf numFmtId="0" fontId="11" fillId="2" borderId="0" xfId="0" applyFont="1" applyFill="1" applyAlignment="1">
      <alignment vertical="center" wrapText="1"/>
    </xf>
    <xf numFmtId="0" fontId="14" fillId="0" borderId="27" xfId="0" applyFont="1" applyBorder="1" applyAlignment="1">
      <alignment vertical="center" wrapText="1"/>
    </xf>
    <xf numFmtId="9" fontId="49" fillId="2" borderId="0" xfId="93" applyFont="1" applyFill="1" applyBorder="1" applyAlignment="1"/>
    <xf numFmtId="0" fontId="49" fillId="2" borderId="0" xfId="0" applyFont="1" applyFill="1"/>
    <xf numFmtId="0" fontId="64" fillId="2" borderId="0" xfId="0" applyFont="1" applyFill="1"/>
    <xf numFmtId="0" fontId="27" fillId="2" borderId="0" xfId="0" applyFont="1" applyFill="1" applyAlignment="1">
      <alignment wrapText="1"/>
    </xf>
    <xf numFmtId="0" fontId="46" fillId="2" borderId="0" xfId="0" applyFont="1" applyFill="1" applyAlignment="1">
      <alignment wrapText="1"/>
    </xf>
    <xf numFmtId="0" fontId="44" fillId="2" borderId="0" xfId="0" applyFont="1" applyFill="1" applyAlignment="1">
      <alignment horizontal="center" wrapText="1"/>
    </xf>
    <xf numFmtId="3" fontId="44" fillId="2" borderId="0" xfId="0" applyNumberFormat="1" applyFont="1" applyFill="1" applyAlignment="1">
      <alignment horizontal="center"/>
    </xf>
    <xf numFmtId="0" fontId="45" fillId="2" borderId="0" xfId="0" applyFont="1" applyFill="1" applyAlignment="1">
      <alignment wrapText="1"/>
    </xf>
    <xf numFmtId="0" fontId="45" fillId="2" borderId="0" xfId="0" applyFont="1" applyFill="1" applyAlignment="1">
      <alignment horizontal="center" wrapText="1"/>
    </xf>
    <xf numFmtId="0" fontId="62" fillId="0" borderId="0" xfId="0" applyFont="1"/>
    <xf numFmtId="169" fontId="62" fillId="0" borderId="0" xfId="5" applyNumberFormat="1" applyFont="1" applyFill="1" applyBorder="1"/>
    <xf numFmtId="0" fontId="65" fillId="0" borderId="0" xfId="0" applyFont="1"/>
    <xf numFmtId="0" fontId="29" fillId="3" borderId="9" xfId="0" applyFont="1" applyFill="1" applyBorder="1"/>
    <xf numFmtId="0" fontId="29" fillId="3" borderId="28" xfId="0" applyFont="1" applyFill="1" applyBorder="1"/>
    <xf numFmtId="0" fontId="30" fillId="3" borderId="25" xfId="0" applyFont="1" applyFill="1" applyBorder="1" applyAlignment="1">
      <alignment vertical="center"/>
    </xf>
    <xf numFmtId="0" fontId="30" fillId="3" borderId="2" xfId="0" applyFont="1" applyFill="1" applyBorder="1" applyAlignment="1">
      <alignment vertical="center"/>
    </xf>
    <xf numFmtId="0" fontId="29" fillId="0" borderId="1" xfId="0" applyFont="1" applyBorder="1" applyAlignment="1">
      <alignment horizontal="center"/>
    </xf>
    <xf numFmtId="168" fontId="29" fillId="0" borderId="29" xfId="5" applyNumberFormat="1" applyFont="1" applyFill="1" applyBorder="1"/>
    <xf numFmtId="168" fontId="29" fillId="3" borderId="28" xfId="5" applyNumberFormat="1" applyFont="1" applyFill="1" applyBorder="1"/>
    <xf numFmtId="0" fontId="29" fillId="3" borderId="1" xfId="0" applyFont="1" applyFill="1" applyBorder="1" applyAlignment="1">
      <alignment wrapText="1"/>
    </xf>
    <xf numFmtId="0" fontId="2" fillId="3" borderId="1" xfId="0" applyFont="1" applyFill="1" applyBorder="1"/>
    <xf numFmtId="0" fontId="2" fillId="3" borderId="1" xfId="0" applyFont="1" applyFill="1" applyBorder="1" applyAlignment="1">
      <alignment wrapText="1"/>
    </xf>
    <xf numFmtId="0" fontId="61" fillId="3" borderId="2" xfId="0" applyFont="1" applyFill="1" applyBorder="1"/>
    <xf numFmtId="0" fontId="30" fillId="3" borderId="0" xfId="0" applyFont="1" applyFill="1" applyAlignment="1">
      <alignment vertical="center"/>
    </xf>
    <xf numFmtId="0" fontId="38" fillId="5" borderId="1" xfId="0" applyFont="1" applyFill="1" applyBorder="1" applyAlignment="1">
      <alignment horizontal="center" vertical="center"/>
    </xf>
    <xf numFmtId="0" fontId="38" fillId="5" borderId="3" xfId="30" quotePrefix="1" applyFont="1" applyFill="1" applyBorder="1" applyAlignment="1">
      <alignment horizontal="center"/>
    </xf>
    <xf numFmtId="0" fontId="38" fillId="5" borderId="0" xfId="0" applyFont="1" applyFill="1" applyAlignment="1">
      <alignment horizontal="center" vertical="center"/>
    </xf>
    <xf numFmtId="0" fontId="53" fillId="3" borderId="0" xfId="0" applyFont="1" applyFill="1"/>
    <xf numFmtId="0" fontId="24" fillId="5" borderId="0" xfId="0" applyFont="1" applyFill="1" applyAlignment="1">
      <alignment horizontal="center"/>
    </xf>
    <xf numFmtId="0" fontId="24" fillId="5" borderId="0" xfId="0" applyFont="1" applyFill="1" applyAlignment="1">
      <alignment horizontal="center" vertical="center"/>
    </xf>
    <xf numFmtId="0" fontId="24" fillId="5" borderId="0" xfId="0" applyFont="1" applyFill="1" applyAlignment="1">
      <alignment vertical="center"/>
    </xf>
    <xf numFmtId="0" fontId="53" fillId="2" borderId="2" xfId="0" applyFont="1" applyFill="1" applyBorder="1"/>
    <xf numFmtId="0" fontId="53" fillId="2" borderId="28" xfId="0" applyFont="1" applyFill="1" applyBorder="1"/>
    <xf numFmtId="0" fontId="38" fillId="5" borderId="3" xfId="30" quotePrefix="1" applyFont="1" applyFill="1" applyBorder="1" applyAlignment="1">
      <alignment horizontal="right"/>
    </xf>
    <xf numFmtId="0" fontId="66" fillId="8" borderId="35" xfId="18" applyFont="1" applyFill="1" applyBorder="1" applyAlignment="1">
      <alignment vertical="center"/>
    </xf>
    <xf numFmtId="0" fontId="11" fillId="8" borderId="35" xfId="18" applyFont="1" applyFill="1" applyBorder="1" applyAlignment="1">
      <alignment vertical="center"/>
    </xf>
    <xf numFmtId="0" fontId="66" fillId="9" borderId="36" xfId="18" applyFont="1" applyFill="1" applyBorder="1" applyAlignment="1">
      <alignment horizontal="center" vertical="center" wrapText="1"/>
    </xf>
    <xf numFmtId="0" fontId="66" fillId="9" borderId="37" xfId="18" applyFont="1" applyFill="1" applyBorder="1" applyAlignment="1">
      <alignment horizontal="center" vertical="center" wrapText="1"/>
    </xf>
    <xf numFmtId="0" fontId="66" fillId="9" borderId="38" xfId="18" applyFont="1" applyFill="1" applyBorder="1" applyAlignment="1">
      <alignment horizontal="center" vertical="center"/>
    </xf>
    <xf numFmtId="0" fontId="66" fillId="9" borderId="39" xfId="18" applyFont="1" applyFill="1" applyBorder="1" applyAlignment="1">
      <alignment vertical="center"/>
    </xf>
    <xf numFmtId="0" fontId="66" fillId="9" borderId="39" xfId="18" applyFont="1" applyFill="1" applyBorder="1" applyAlignment="1">
      <alignment vertical="center" wrapText="1"/>
    </xf>
    <xf numFmtId="0" fontId="66" fillId="9" borderId="40" xfId="18" applyFont="1" applyFill="1" applyBorder="1" applyAlignment="1">
      <alignment horizontal="center" vertical="center" wrapText="1"/>
    </xf>
    <xf numFmtId="0" fontId="38" fillId="5" borderId="41" xfId="30" quotePrefix="1" applyFont="1" applyFill="1" applyBorder="1" applyAlignment="1">
      <alignment horizontal="center"/>
    </xf>
    <xf numFmtId="0" fontId="38" fillId="5" borderId="42" xfId="30" quotePrefix="1" applyFont="1" applyFill="1" applyBorder="1" applyAlignment="1">
      <alignment horizontal="center"/>
    </xf>
    <xf numFmtId="0" fontId="38" fillId="5" borderId="3" xfId="30" applyFont="1" applyFill="1" applyBorder="1" applyAlignment="1">
      <alignment horizontal="center"/>
    </xf>
    <xf numFmtId="0" fontId="24" fillId="5" borderId="3" xfId="0" applyFont="1" applyFill="1" applyBorder="1" applyAlignment="1">
      <alignment horizontal="center" vertical="center"/>
    </xf>
    <xf numFmtId="0" fontId="24" fillId="5" borderId="0" xfId="0" applyFont="1" applyFill="1"/>
    <xf numFmtId="0" fontId="67" fillId="5" borderId="43" xfId="0" applyFont="1" applyFill="1" applyBorder="1" applyAlignment="1">
      <alignment horizontal="center" vertical="center" wrapText="1"/>
    </xf>
    <xf numFmtId="0" fontId="67" fillId="5" borderId="44" xfId="0" applyFont="1" applyFill="1" applyBorder="1" applyAlignment="1">
      <alignment horizontal="center" vertical="center" wrapText="1"/>
    </xf>
    <xf numFmtId="9" fontId="64" fillId="2" borderId="0" xfId="93" applyFont="1" applyFill="1" applyBorder="1" applyAlignment="1"/>
    <xf numFmtId="0" fontId="44" fillId="2" borderId="30" xfId="0" applyFont="1" applyFill="1" applyBorder="1"/>
    <xf numFmtId="0" fontId="62" fillId="5" borderId="0" xfId="0" applyFont="1" applyFill="1"/>
    <xf numFmtId="169" fontId="62" fillId="5" borderId="0" xfId="5" applyNumberFormat="1" applyFont="1" applyFill="1" applyBorder="1"/>
    <xf numFmtId="0" fontId="29" fillId="0" borderId="0" xfId="0" applyFont="1" applyAlignment="1">
      <alignment horizontal="center"/>
    </xf>
    <xf numFmtId="0" fontId="25" fillId="0" borderId="0" xfId="4" applyAlignment="1">
      <alignment horizontal="right"/>
    </xf>
    <xf numFmtId="0" fontId="68" fillId="10" borderId="0" xfId="0" applyFont="1" applyFill="1"/>
    <xf numFmtId="0" fontId="68" fillId="10" borderId="11" xfId="0" applyFont="1" applyFill="1" applyBorder="1"/>
    <xf numFmtId="0" fontId="69" fillId="10" borderId="1" xfId="0" applyFont="1" applyFill="1" applyBorder="1"/>
    <xf numFmtId="0" fontId="68" fillId="10" borderId="1" xfId="0" applyFont="1" applyFill="1" applyBorder="1"/>
    <xf numFmtId="0" fontId="16" fillId="10" borderId="0" xfId="0" applyFont="1" applyFill="1"/>
    <xf numFmtId="0" fontId="17" fillId="10" borderId="29" xfId="0" applyFont="1" applyFill="1" applyBorder="1"/>
    <xf numFmtId="0" fontId="17" fillId="10" borderId="1" xfId="0" applyFont="1" applyFill="1" applyBorder="1"/>
    <xf numFmtId="0" fontId="16" fillId="10" borderId="1" xfId="0" applyFont="1" applyFill="1" applyBorder="1"/>
    <xf numFmtId="0" fontId="70" fillId="10" borderId="0" xfId="0" applyFont="1" applyFill="1"/>
    <xf numFmtId="0" fontId="71" fillId="11" borderId="0" xfId="0" applyFont="1" applyFill="1"/>
    <xf numFmtId="0" fontId="25" fillId="0" borderId="0" xfId="4" applyAlignment="1">
      <alignment horizontal="center" vertical="center"/>
    </xf>
    <xf numFmtId="0" fontId="25" fillId="0" borderId="29" xfId="4" applyBorder="1" applyAlignment="1">
      <alignment horizontal="center" vertical="center"/>
    </xf>
    <xf numFmtId="14" fontId="35" fillId="6" borderId="0" xfId="0" applyNumberFormat="1" applyFont="1" applyFill="1"/>
    <xf numFmtId="0" fontId="35" fillId="6" borderId="0" xfId="0" applyFont="1" applyFill="1"/>
    <xf numFmtId="0" fontId="30" fillId="0" borderId="0" xfId="0" applyFont="1" applyAlignment="1">
      <alignment horizontal="right"/>
    </xf>
    <xf numFmtId="0" fontId="29" fillId="0" borderId="3" xfId="0" applyFont="1" applyBorder="1"/>
    <xf numFmtId="0" fontId="46" fillId="2" borderId="0" xfId="0" applyFont="1" applyFill="1" applyAlignment="1">
      <alignment horizontal="left" vertical="top" wrapText="1"/>
    </xf>
    <xf numFmtId="0" fontId="13" fillId="0" borderId="0" xfId="0" applyFont="1" applyAlignment="1">
      <alignment vertical="justify"/>
    </xf>
    <xf numFmtId="0" fontId="13" fillId="0" borderId="5" xfId="0" applyFont="1" applyBorder="1" applyAlignment="1">
      <alignment vertical="justify"/>
    </xf>
    <xf numFmtId="0" fontId="49" fillId="0" borderId="0" xfId="0" applyFont="1"/>
    <xf numFmtId="0" fontId="51" fillId="0" borderId="0" xfId="0" applyFont="1"/>
    <xf numFmtId="41" fontId="23" fillId="2" borderId="0" xfId="6" applyFont="1" applyFill="1"/>
    <xf numFmtId="41" fontId="29" fillId="3" borderId="1" xfId="6" applyFont="1" applyFill="1" applyBorder="1"/>
    <xf numFmtId="41" fontId="29" fillId="2" borderId="0" xfId="6" applyFont="1" applyFill="1" applyAlignment="1">
      <alignment horizontal="left" vertical="top" wrapText="1"/>
    </xf>
    <xf numFmtId="41" fontId="23" fillId="0" borderId="0" xfId="6" applyFont="1"/>
    <xf numFmtId="41" fontId="2" fillId="3" borderId="0" xfId="6" applyFont="1" applyFill="1"/>
    <xf numFmtId="41" fontId="38" fillId="0" borderId="0" xfId="6" applyFont="1" applyFill="1" applyAlignment="1">
      <alignment vertical="center" wrapText="1"/>
    </xf>
    <xf numFmtId="41" fontId="23" fillId="0" borderId="3" xfId="6" applyFont="1" applyBorder="1"/>
    <xf numFmtId="41" fontId="23" fillId="2" borderId="3" xfId="6" applyFont="1" applyFill="1" applyBorder="1"/>
    <xf numFmtId="41" fontId="23" fillId="3" borderId="0" xfId="6" applyFont="1" applyFill="1"/>
    <xf numFmtId="41" fontId="24" fillId="0" borderId="0" xfId="6" applyFont="1" applyFill="1" applyAlignment="1">
      <alignment horizontal="center" vertical="center"/>
    </xf>
    <xf numFmtId="0" fontId="72" fillId="0" borderId="0" xfId="0" applyFont="1"/>
    <xf numFmtId="0" fontId="72" fillId="0" borderId="3" xfId="0" applyFont="1" applyBorder="1"/>
    <xf numFmtId="41" fontId="0" fillId="2" borderId="0" xfId="0" applyNumberFormat="1" applyFill="1"/>
    <xf numFmtId="167" fontId="4" fillId="0" borderId="31" xfId="5" applyNumberFormat="1" applyFont="1" applyBorder="1" applyAlignment="1">
      <alignment horizontal="center" vertical="center" wrapText="1"/>
    </xf>
    <xf numFmtId="167" fontId="31" fillId="2" borderId="0" xfId="5" applyNumberFormat="1" applyFont="1" applyFill="1" applyBorder="1"/>
    <xf numFmtId="167" fontId="23" fillId="3" borderId="0" xfId="5" applyNumberFormat="1" applyFont="1" applyFill="1"/>
    <xf numFmtId="0" fontId="30" fillId="2" borderId="0" xfId="0" applyFont="1" applyFill="1" applyAlignment="1">
      <alignment horizontal="left" vertical="top"/>
    </xf>
    <xf numFmtId="43" fontId="68" fillId="10" borderId="1" xfId="5" applyFont="1" applyFill="1" applyBorder="1"/>
    <xf numFmtId="167" fontId="68" fillId="10" borderId="1" xfId="5" applyNumberFormat="1" applyFont="1" applyFill="1" applyBorder="1"/>
    <xf numFmtId="167" fontId="16" fillId="10" borderId="1" xfId="5" applyNumberFormat="1" applyFont="1" applyFill="1" applyBorder="1"/>
    <xf numFmtId="3" fontId="29" fillId="0" borderId="0" xfId="5" applyNumberFormat="1" applyFont="1"/>
    <xf numFmtId="169" fontId="23" fillId="0" borderId="0" xfId="8" applyNumberFormat="1" applyFont="1" applyFill="1" applyBorder="1"/>
    <xf numFmtId="41" fontId="29" fillId="3" borderId="0" xfId="0" applyNumberFormat="1" applyFont="1" applyFill="1"/>
    <xf numFmtId="41" fontId="30" fillId="3" borderId="1" xfId="6" applyFont="1" applyFill="1" applyBorder="1"/>
    <xf numFmtId="169" fontId="5" fillId="3" borderId="4" xfId="5" applyNumberFormat="1" applyFont="1" applyFill="1" applyBorder="1"/>
    <xf numFmtId="167" fontId="33" fillId="0" borderId="0" xfId="0" applyNumberFormat="1" applyFont="1"/>
    <xf numFmtId="169" fontId="23" fillId="0" borderId="3" xfId="8" applyNumberFormat="1" applyFont="1" applyFill="1" applyBorder="1"/>
    <xf numFmtId="0" fontId="28" fillId="0" borderId="0" xfId="0" applyFont="1" applyAlignment="1">
      <alignment horizontal="center"/>
    </xf>
    <xf numFmtId="43" fontId="28" fillId="0" borderId="0" xfId="5" applyFont="1"/>
    <xf numFmtId="41" fontId="28" fillId="0" borderId="0" xfId="6" applyFont="1"/>
    <xf numFmtId="167" fontId="28" fillId="0" borderId="0" xfId="5" applyNumberFormat="1" applyFont="1"/>
    <xf numFmtId="168" fontId="29" fillId="3" borderId="0" xfId="0" applyNumberFormat="1" applyFont="1" applyFill="1"/>
    <xf numFmtId="43" fontId="29" fillId="3" borderId="0" xfId="5" applyFont="1" applyFill="1"/>
    <xf numFmtId="169" fontId="2" fillId="0" borderId="1" xfId="5" applyNumberFormat="1" applyFont="1" applyFill="1" applyBorder="1"/>
    <xf numFmtId="41" fontId="41" fillId="2" borderId="10" xfId="6" applyFont="1" applyFill="1" applyBorder="1"/>
    <xf numFmtId="3" fontId="0" fillId="0" borderId="0" xfId="0" applyNumberFormat="1"/>
    <xf numFmtId="3" fontId="31" fillId="2" borderId="0" xfId="5" applyNumberFormat="1" applyFont="1" applyFill="1" applyBorder="1"/>
    <xf numFmtId="167" fontId="73" fillId="10" borderId="1" xfId="5" applyNumberFormat="1" applyFont="1" applyFill="1" applyBorder="1"/>
    <xf numFmtId="0" fontId="74" fillId="3" borderId="0" xfId="0" applyFont="1" applyFill="1"/>
    <xf numFmtId="4" fontId="28" fillId="0" borderId="0" xfId="0" applyNumberFormat="1" applyFont="1"/>
    <xf numFmtId="41" fontId="28" fillId="3" borderId="10" xfId="6" applyFont="1" applyFill="1" applyBorder="1"/>
    <xf numFmtId="0" fontId="30" fillId="3" borderId="0" xfId="0" applyFont="1" applyFill="1" applyAlignment="1">
      <alignment horizontal="center" vertical="center"/>
    </xf>
    <xf numFmtId="14" fontId="0" fillId="0" borderId="0" xfId="0" applyNumberFormat="1"/>
    <xf numFmtId="14" fontId="0" fillId="0" borderId="3" xfId="0" applyNumberFormat="1" applyBorder="1"/>
    <xf numFmtId="169" fontId="28" fillId="0" borderId="0" xfId="8" applyNumberFormat="1" applyFont="1" applyFill="1" applyBorder="1"/>
    <xf numFmtId="41" fontId="28" fillId="2" borderId="10" xfId="6" applyFont="1" applyFill="1" applyBorder="1"/>
    <xf numFmtId="171" fontId="23" fillId="2" borderId="0" xfId="6" applyNumberFormat="1" applyFont="1" applyFill="1" applyBorder="1"/>
    <xf numFmtId="0" fontId="0" fillId="2" borderId="0" xfId="0" applyFill="1" applyAlignment="1">
      <alignment horizontal="center"/>
    </xf>
    <xf numFmtId="171" fontId="0" fillId="0" borderId="0" xfId="0" applyNumberFormat="1"/>
    <xf numFmtId="43" fontId="29" fillId="0" borderId="0" xfId="0" applyNumberFormat="1" applyFont="1"/>
    <xf numFmtId="14" fontId="44" fillId="2" borderId="0" xfId="0" applyNumberFormat="1" applyFont="1" applyFill="1"/>
    <xf numFmtId="0" fontId="19" fillId="12" borderId="1" xfId="0" applyFont="1" applyFill="1" applyBorder="1" applyAlignment="1">
      <alignment horizontal="center" vertical="center" wrapText="1"/>
    </xf>
    <xf numFmtId="9" fontId="44" fillId="2" borderId="0" xfId="93" applyFont="1" applyFill="1"/>
    <xf numFmtId="9" fontId="44" fillId="0" borderId="0" xfId="93" applyFont="1"/>
    <xf numFmtId="4" fontId="0" fillId="0" borderId="0" xfId="0" applyNumberFormat="1"/>
    <xf numFmtId="43" fontId="73" fillId="10" borderId="1" xfId="0" applyNumberFormat="1" applyFont="1" applyFill="1" applyBorder="1"/>
    <xf numFmtId="167" fontId="17" fillId="10" borderId="1" xfId="5" applyNumberFormat="1" applyFont="1" applyFill="1" applyBorder="1"/>
    <xf numFmtId="14" fontId="28" fillId="0" borderId="0" xfId="0" applyNumberFormat="1" applyFont="1"/>
    <xf numFmtId="172" fontId="29" fillId="0" borderId="0" xfId="6" applyNumberFormat="1" applyFont="1" applyFill="1"/>
    <xf numFmtId="0" fontId="20" fillId="0" borderId="0" xfId="3" applyFont="1"/>
    <xf numFmtId="0" fontId="21" fillId="0" borderId="0" xfId="3" applyFont="1"/>
    <xf numFmtId="0" fontId="38" fillId="5" borderId="0" xfId="0" applyFont="1" applyFill="1" applyAlignment="1">
      <alignment horizontal="right" vertical="center"/>
    </xf>
    <xf numFmtId="3" fontId="35" fillId="0" borderId="0" xfId="0" applyNumberFormat="1" applyFont="1"/>
    <xf numFmtId="171" fontId="33" fillId="0" borderId="0" xfId="6" applyNumberFormat="1" applyFont="1" applyFill="1"/>
    <xf numFmtId="3" fontId="29" fillId="0" borderId="0" xfId="0" applyNumberFormat="1" applyFont="1"/>
    <xf numFmtId="41" fontId="29" fillId="0" borderId="1" xfId="6" applyFont="1" applyFill="1" applyBorder="1"/>
    <xf numFmtId="41" fontId="2" fillId="2" borderId="0" xfId="0" applyNumberFormat="1" applyFont="1" applyFill="1"/>
    <xf numFmtId="167" fontId="11" fillId="0" borderId="33" xfId="5" applyNumberFormat="1" applyFont="1" applyFill="1" applyBorder="1" applyAlignment="1">
      <alignment horizontal="center" vertical="center" wrapText="1"/>
    </xf>
    <xf numFmtId="41" fontId="33" fillId="0" borderId="0" xfId="6" applyFont="1" applyFill="1"/>
    <xf numFmtId="41" fontId="32" fillId="0" borderId="0" xfId="6" applyFont="1" applyFill="1"/>
    <xf numFmtId="41" fontId="47" fillId="5" borderId="0" xfId="6" applyFont="1" applyFill="1" applyAlignment="1">
      <alignment horizontal="center"/>
    </xf>
    <xf numFmtId="41" fontId="5" fillId="0" borderId="9" xfId="6" applyFont="1" applyFill="1" applyBorder="1"/>
    <xf numFmtId="41" fontId="47" fillId="5" borderId="10" xfId="6" applyFont="1" applyFill="1" applyBorder="1"/>
    <xf numFmtId="41" fontId="75" fillId="3" borderId="0" xfId="6" applyFont="1" applyFill="1" applyBorder="1" applyAlignment="1">
      <alignment horizontal="center"/>
    </xf>
    <xf numFmtId="41" fontId="47" fillId="5" borderId="0" xfId="6" applyFont="1" applyFill="1" applyBorder="1"/>
    <xf numFmtId="41" fontId="38" fillId="5" borderId="0" xfId="6" applyFont="1" applyFill="1" applyBorder="1"/>
    <xf numFmtId="41" fontId="76" fillId="0" borderId="0" xfId="6" applyFont="1" applyFill="1"/>
    <xf numFmtId="171" fontId="29" fillId="0" borderId="0" xfId="6" applyNumberFormat="1" applyFont="1"/>
    <xf numFmtId="171" fontId="30" fillId="0" borderId="0" xfId="6" applyNumberFormat="1" applyFont="1"/>
    <xf numFmtId="167" fontId="44" fillId="2" borderId="0" xfId="0" applyNumberFormat="1" applyFont="1" applyFill="1"/>
    <xf numFmtId="4" fontId="2" fillId="0" borderId="0" xfId="0" applyNumberFormat="1" applyFont="1"/>
    <xf numFmtId="0" fontId="44" fillId="0" borderId="0" xfId="0" applyFont="1" applyAlignment="1">
      <alignment horizontal="left" wrapText="1"/>
    </xf>
    <xf numFmtId="0" fontId="28" fillId="0" borderId="0" xfId="0" applyFont="1" applyAlignment="1">
      <alignment horizontal="left"/>
    </xf>
    <xf numFmtId="0" fontId="0" fillId="0" borderId="0" xfId="0" applyAlignment="1">
      <alignment horizontal="left"/>
    </xf>
    <xf numFmtId="0" fontId="77" fillId="0" borderId="0" xfId="0" applyFont="1" applyAlignment="1">
      <alignment horizontal="justify" vertical="center"/>
    </xf>
    <xf numFmtId="167" fontId="23" fillId="0" borderId="0" xfId="5" applyNumberFormat="1" applyFont="1" applyFill="1"/>
    <xf numFmtId="41" fontId="11" fillId="2" borderId="8" xfId="6" applyFont="1" applyFill="1" applyBorder="1" applyAlignment="1">
      <alignment horizontal="right"/>
    </xf>
    <xf numFmtId="166" fontId="4" fillId="2" borderId="11" xfId="14" applyFont="1" applyFill="1" applyBorder="1"/>
    <xf numFmtId="41" fontId="11" fillId="2" borderId="11" xfId="6" applyFont="1" applyFill="1" applyBorder="1"/>
    <xf numFmtId="41" fontId="11" fillId="2" borderId="8" xfId="6" applyFont="1" applyFill="1" applyBorder="1"/>
    <xf numFmtId="167" fontId="0" fillId="2" borderId="0" xfId="0" applyNumberFormat="1" applyFill="1"/>
    <xf numFmtId="0" fontId="30" fillId="3" borderId="28" xfId="0" applyFont="1" applyFill="1" applyBorder="1" applyAlignment="1">
      <alignment vertical="center"/>
    </xf>
    <xf numFmtId="43" fontId="2" fillId="0" borderId="0" xfId="5" applyFont="1" applyBorder="1"/>
    <xf numFmtId="43" fontId="5" fillId="0" borderId="0" xfId="5" applyFont="1"/>
    <xf numFmtId="0" fontId="25" fillId="0" borderId="5" xfId="4" applyBorder="1"/>
    <xf numFmtId="0" fontId="38" fillId="5" borderId="5" xfId="0" applyFont="1" applyFill="1" applyBorder="1" applyAlignment="1">
      <alignment vertical="center"/>
    </xf>
    <xf numFmtId="0" fontId="30" fillId="0" borderId="5" xfId="0" applyFont="1" applyBorder="1" applyAlignment="1">
      <alignment vertical="center"/>
    </xf>
    <xf numFmtId="0" fontId="29" fillId="0" borderId="5" xfId="0" applyFont="1" applyBorder="1" applyAlignment="1">
      <alignment vertical="center"/>
    </xf>
    <xf numFmtId="0" fontId="32" fillId="0" borderId="0" xfId="0" applyFont="1" applyAlignment="1">
      <alignment vertical="center"/>
    </xf>
    <xf numFmtId="0" fontId="32" fillId="0" borderId="5" xfId="0" applyFont="1" applyBorder="1" applyAlignment="1">
      <alignment vertical="center"/>
    </xf>
    <xf numFmtId="0" fontId="49" fillId="0" borderId="5" xfId="0" applyFont="1" applyBorder="1"/>
    <xf numFmtId="0" fontId="78" fillId="0" borderId="0" xfId="0" applyFont="1" applyAlignment="1">
      <alignment vertical="center"/>
    </xf>
    <xf numFmtId="0" fontId="29" fillId="2" borderId="0" xfId="0" applyFont="1" applyFill="1" applyAlignment="1">
      <alignment horizontal="left" vertical="top"/>
    </xf>
    <xf numFmtId="41" fontId="29" fillId="0" borderId="0" xfId="6" applyFont="1" applyFill="1" applyAlignment="1">
      <alignment horizontal="left" vertical="top" wrapText="1"/>
    </xf>
    <xf numFmtId="167" fontId="31" fillId="0" borderId="0" xfId="5" applyNumberFormat="1" applyFont="1" applyFill="1" applyBorder="1"/>
    <xf numFmtId="0" fontId="22" fillId="0" borderId="0" xfId="0" applyFont="1" applyAlignment="1">
      <alignment horizontal="center" vertical="center"/>
    </xf>
    <xf numFmtId="0" fontId="4" fillId="0" borderId="0" xfId="3" applyFont="1"/>
    <xf numFmtId="0" fontId="22" fillId="0" borderId="0" xfId="0" applyFont="1" applyAlignment="1">
      <alignment horizontal="left" vertical="center"/>
    </xf>
    <xf numFmtId="0" fontId="21" fillId="0" borderId="0" xfId="3" applyFont="1" applyAlignment="1">
      <alignment horizontal="center"/>
    </xf>
    <xf numFmtId="0" fontId="21" fillId="0" borderId="0" xfId="3" applyFont="1" applyAlignment="1">
      <alignment horizontal="left"/>
    </xf>
    <xf numFmtId="167" fontId="20" fillId="0" borderId="0" xfId="3" applyNumberFormat="1" applyFont="1"/>
    <xf numFmtId="171" fontId="23" fillId="2" borderId="0" xfId="6" applyNumberFormat="1" applyFont="1" applyFill="1"/>
    <xf numFmtId="171" fontId="38" fillId="5" borderId="0" xfId="6" applyNumberFormat="1" applyFont="1" applyFill="1" applyAlignment="1">
      <alignment vertical="center"/>
    </xf>
    <xf numFmtId="171" fontId="44" fillId="2" borderId="0" xfId="6" applyNumberFormat="1" applyFont="1" applyFill="1"/>
    <xf numFmtId="171" fontId="44" fillId="2" borderId="0" xfId="6" applyNumberFormat="1" applyFont="1" applyFill="1" applyBorder="1"/>
    <xf numFmtId="171" fontId="24" fillId="5" borderId="47" xfId="6" applyNumberFormat="1" applyFont="1" applyFill="1" applyBorder="1"/>
    <xf numFmtId="171" fontId="67" fillId="5" borderId="43" xfId="6" applyNumberFormat="1" applyFont="1" applyFill="1" applyBorder="1" applyAlignment="1">
      <alignment horizontal="center" vertical="center" wrapText="1"/>
    </xf>
    <xf numFmtId="171" fontId="11" fillId="0" borderId="33" xfId="6" applyNumberFormat="1" applyFont="1" applyFill="1" applyBorder="1" applyAlignment="1">
      <alignment horizontal="center" vertical="center" wrapText="1"/>
    </xf>
    <xf numFmtId="171" fontId="11" fillId="0" borderId="33" xfId="6" applyNumberFormat="1" applyFont="1" applyFill="1" applyBorder="1" applyAlignment="1">
      <alignment horizontal="right" vertical="center" wrapText="1"/>
    </xf>
    <xf numFmtId="171" fontId="27" fillId="2" borderId="0" xfId="6" applyNumberFormat="1" applyFont="1" applyFill="1"/>
    <xf numFmtId="4" fontId="0" fillId="3" borderId="0" xfId="0" applyNumberFormat="1" applyFill="1"/>
    <xf numFmtId="171" fontId="5" fillId="0" borderId="0" xfId="6" applyNumberFormat="1" applyFont="1" applyFill="1" applyBorder="1" applyAlignment="1">
      <alignment horizontal="center"/>
    </xf>
    <xf numFmtId="41" fontId="29" fillId="0" borderId="0" xfId="6" applyFont="1" applyFill="1" applyAlignment="1">
      <alignment horizontal="center"/>
    </xf>
    <xf numFmtId="41" fontId="30" fillId="0" borderId="0" xfId="6" applyFont="1" applyFill="1" applyAlignment="1">
      <alignment horizontal="center"/>
    </xf>
    <xf numFmtId="41" fontId="5" fillId="0" borderId="0" xfId="6" applyFont="1" applyFill="1" applyBorder="1" applyAlignment="1">
      <alignment horizontal="center"/>
    </xf>
    <xf numFmtId="41" fontId="22" fillId="0" borderId="0" xfId="6" applyFont="1" applyAlignment="1">
      <alignment horizontal="left" vertical="center"/>
    </xf>
    <xf numFmtId="41" fontId="22" fillId="0" borderId="0" xfId="6" applyFont="1" applyAlignment="1">
      <alignment horizontal="center" vertical="center"/>
    </xf>
    <xf numFmtId="171" fontId="36" fillId="0" borderId="0" xfId="6" applyNumberFormat="1" applyFont="1"/>
    <xf numFmtId="171" fontId="29" fillId="3" borderId="0" xfId="6" applyNumberFormat="1" applyFont="1" applyFill="1" applyBorder="1"/>
    <xf numFmtId="171" fontId="29" fillId="3" borderId="2" xfId="6" applyNumberFormat="1" applyFont="1" applyFill="1" applyBorder="1" applyAlignment="1">
      <alignment vertical="center"/>
    </xf>
    <xf numFmtId="171" fontId="29" fillId="3" borderId="10" xfId="6" applyNumberFormat="1" applyFont="1" applyFill="1" applyBorder="1"/>
    <xf numFmtId="3" fontId="79" fillId="3" borderId="0" xfId="37" applyNumberFormat="1" applyFont="1" applyFill="1"/>
    <xf numFmtId="41" fontId="80" fillId="0" borderId="0" xfId="6" applyFont="1" applyFill="1" applyBorder="1"/>
    <xf numFmtId="41" fontId="79" fillId="3" borderId="1" xfId="6" applyFont="1" applyFill="1" applyBorder="1"/>
    <xf numFmtId="41" fontId="79" fillId="0" borderId="1" xfId="6" applyFont="1" applyFill="1" applyBorder="1"/>
    <xf numFmtId="169" fontId="80" fillId="0" borderId="0" xfId="8" applyNumberFormat="1" applyFont="1" applyFill="1" applyBorder="1"/>
    <xf numFmtId="41" fontId="80" fillId="0" borderId="0" xfId="6" applyFont="1"/>
    <xf numFmtId="41" fontId="80" fillId="0" borderId="0" xfId="6" applyFont="1" applyFill="1"/>
    <xf numFmtId="169" fontId="79" fillId="0" borderId="0" xfId="5" applyNumberFormat="1" applyFont="1" applyFill="1"/>
    <xf numFmtId="41" fontId="68" fillId="10" borderId="1" xfId="6" applyFont="1" applyFill="1" applyBorder="1"/>
    <xf numFmtId="0" fontId="81" fillId="0" borderId="0" xfId="0" applyFont="1" applyAlignment="1">
      <alignment horizontal="center" vertical="center"/>
    </xf>
    <xf numFmtId="41" fontId="43" fillId="0" borderId="0" xfId="6" applyFont="1" applyFill="1"/>
    <xf numFmtId="41" fontId="82" fillId="0" borderId="0" xfId="6" applyFont="1" applyFill="1"/>
    <xf numFmtId="41" fontId="75" fillId="3" borderId="0" xfId="6" applyFont="1" applyFill="1" applyAlignment="1">
      <alignment horizontal="center"/>
    </xf>
    <xf numFmtId="41" fontId="35" fillId="0" borderId="0" xfId="6" applyFont="1" applyFill="1"/>
    <xf numFmtId="41" fontId="22" fillId="0" borderId="0" xfId="6" applyFont="1" applyAlignment="1">
      <alignment vertical="center"/>
    </xf>
    <xf numFmtId="41" fontId="20" fillId="0" borderId="0" xfId="6" applyFont="1"/>
    <xf numFmtId="41" fontId="7" fillId="0" borderId="0" xfId="6" applyFont="1" applyFill="1"/>
    <xf numFmtId="171" fontId="83" fillId="0" borderId="0" xfId="6" applyNumberFormat="1" applyFont="1"/>
    <xf numFmtId="169" fontId="34" fillId="0" borderId="0" xfId="5" applyNumberFormat="1" applyFont="1" applyFill="1"/>
    <xf numFmtId="0" fontId="5" fillId="3" borderId="3" xfId="30" applyFont="1" applyFill="1" applyBorder="1" applyAlignment="1">
      <alignment horizontal="center" wrapText="1"/>
    </xf>
    <xf numFmtId="0" fontId="28" fillId="0" borderId="3" xfId="0" applyFont="1" applyBorder="1" applyAlignment="1">
      <alignment horizontal="center" wrapText="1"/>
    </xf>
    <xf numFmtId="0" fontId="28" fillId="0" borderId="3" xfId="0" applyFont="1" applyBorder="1"/>
    <xf numFmtId="41" fontId="23" fillId="0" borderId="0" xfId="6" applyFont="1" applyFill="1"/>
    <xf numFmtId="0" fontId="1" fillId="0" borderId="0" xfId="3" applyFont="1" applyAlignment="1">
      <alignment horizontal="center"/>
    </xf>
    <xf numFmtId="0" fontId="88" fillId="2" borderId="0" xfId="0" applyFont="1" applyFill="1"/>
    <xf numFmtId="171" fontId="29" fillId="0" borderId="0" xfId="6" applyNumberFormat="1" applyFont="1" applyFill="1"/>
    <xf numFmtId="41" fontId="0" fillId="2" borderId="0" xfId="6" applyFont="1" applyFill="1"/>
    <xf numFmtId="41" fontId="2" fillId="0" borderId="0" xfId="6" applyFont="1" applyFill="1"/>
    <xf numFmtId="41" fontId="0" fillId="3" borderId="0" xfId="6" applyFont="1" applyFill="1"/>
    <xf numFmtId="41" fontId="0" fillId="3" borderId="0" xfId="0" applyNumberFormat="1" applyFill="1"/>
    <xf numFmtId="173" fontId="0" fillId="2" borderId="0" xfId="6" applyNumberFormat="1" applyFont="1" applyFill="1"/>
    <xf numFmtId="171" fontId="0" fillId="2" borderId="0" xfId="0" applyNumberFormat="1" applyFill="1"/>
    <xf numFmtId="41" fontId="25" fillId="2" borderId="0" xfId="6" applyFont="1" applyFill="1"/>
    <xf numFmtId="41" fontId="38" fillId="5" borderId="0" xfId="6" applyFont="1" applyFill="1" applyAlignment="1">
      <alignment vertical="center"/>
    </xf>
    <xf numFmtId="41" fontId="44" fillId="2" borderId="0" xfId="6" applyFont="1" applyFill="1"/>
    <xf numFmtId="41" fontId="11" fillId="2" borderId="0" xfId="6" applyFont="1" applyFill="1" applyBorder="1" applyAlignment="1">
      <alignment vertical="center" wrapText="1"/>
    </xf>
    <xf numFmtId="41" fontId="11" fillId="2" borderId="0" xfId="6" applyFont="1" applyFill="1" applyBorder="1" applyAlignment="1">
      <alignment horizontal="center" vertical="center" wrapText="1"/>
    </xf>
    <xf numFmtId="41" fontId="67" fillId="5" borderId="44" xfId="6" applyFont="1" applyFill="1" applyBorder="1" applyAlignment="1">
      <alignment vertical="center" wrapText="1"/>
    </xf>
    <xf numFmtId="41" fontId="24" fillId="5" borderId="46" xfId="6" applyFont="1" applyFill="1" applyBorder="1"/>
    <xf numFmtId="41" fontId="67" fillId="5" borderId="44" xfId="6" applyFont="1" applyFill="1" applyBorder="1" applyAlignment="1">
      <alignment horizontal="center" vertical="center" wrapText="1"/>
    </xf>
    <xf numFmtId="41" fontId="67" fillId="5" borderId="45" xfId="6" applyFont="1" applyFill="1" applyBorder="1" applyAlignment="1">
      <alignment vertical="center" wrapText="1"/>
    </xf>
    <xf numFmtId="41" fontId="67" fillId="5" borderId="43" xfId="6" applyFont="1" applyFill="1" applyBorder="1" applyAlignment="1">
      <alignment horizontal="center" vertical="center" wrapText="1"/>
    </xf>
    <xf numFmtId="41" fontId="11" fillId="0" borderId="33" xfId="6" applyFont="1" applyFill="1" applyBorder="1" applyAlignment="1">
      <alignment horizontal="center" vertical="center" wrapText="1"/>
    </xf>
    <xf numFmtId="41" fontId="4" fillId="0" borderId="31" xfId="6" applyFont="1" applyBorder="1" applyAlignment="1">
      <alignment horizontal="center" vertical="center" wrapText="1"/>
    </xf>
    <xf numFmtId="41" fontId="27" fillId="2" borderId="0" xfId="6" applyFont="1" applyFill="1"/>
    <xf numFmtId="0" fontId="45" fillId="14" borderId="0" xfId="0" applyFont="1" applyFill="1"/>
    <xf numFmtId="0" fontId="44" fillId="14" borderId="0" xfId="0" applyFont="1" applyFill="1"/>
    <xf numFmtId="14" fontId="44" fillId="10" borderId="0" xfId="0" applyNumberFormat="1" applyFont="1" applyFill="1"/>
    <xf numFmtId="171" fontId="32" fillId="0" borderId="0" xfId="6" applyNumberFormat="1" applyFont="1" applyFill="1"/>
    <xf numFmtId="41" fontId="29" fillId="3" borderId="1" xfId="6" applyFont="1" applyFill="1" applyBorder="1" applyAlignment="1">
      <alignment horizontal="center"/>
    </xf>
    <xf numFmtId="171" fontId="29" fillId="0" borderId="28" xfId="6" applyNumberFormat="1" applyFont="1" applyFill="1" applyBorder="1" applyAlignment="1">
      <alignment horizontal="center"/>
    </xf>
    <xf numFmtId="171" fontId="29" fillId="0" borderId="28" xfId="93" applyNumberFormat="1" applyFont="1" applyFill="1" applyBorder="1" applyAlignment="1">
      <alignment horizontal="center"/>
    </xf>
    <xf numFmtId="171" fontId="29" fillId="0" borderId="7" xfId="6" applyNumberFormat="1" applyFont="1" applyFill="1" applyBorder="1" applyAlignment="1">
      <alignment horizontal="center"/>
    </xf>
    <xf numFmtId="43" fontId="35" fillId="0" borderId="0" xfId="5" applyFont="1"/>
    <xf numFmtId="43" fontId="29" fillId="0" borderId="0" xfId="5" applyFont="1"/>
    <xf numFmtId="43" fontId="36" fillId="0" borderId="0" xfId="5" applyFont="1" applyBorder="1"/>
    <xf numFmtId="43" fontId="36" fillId="0" borderId="0" xfId="5" applyFont="1"/>
    <xf numFmtId="0" fontId="29" fillId="3" borderId="1" xfId="0" applyFont="1" applyFill="1" applyBorder="1" applyAlignment="1">
      <alignment horizontal="center"/>
    </xf>
    <xf numFmtId="0" fontId="89" fillId="10" borderId="1" xfId="0" applyFont="1" applyFill="1" applyBorder="1"/>
    <xf numFmtId="41" fontId="29" fillId="0" borderId="0" xfId="0" applyNumberFormat="1" applyFont="1"/>
    <xf numFmtId="167" fontId="90" fillId="0" borderId="0" xfId="5" applyNumberFormat="1" applyFont="1" applyFill="1"/>
    <xf numFmtId="166" fontId="0" fillId="0" borderId="0" xfId="0" applyNumberFormat="1"/>
    <xf numFmtId="171" fontId="0" fillId="0" borderId="0" xfId="6" applyNumberFormat="1" applyFont="1"/>
    <xf numFmtId="41" fontId="0" fillId="0" borderId="0" xfId="0" applyNumberFormat="1"/>
    <xf numFmtId="0" fontId="28" fillId="0" borderId="3" xfId="0" applyFont="1" applyBorder="1" applyAlignment="1">
      <alignment horizontal="left"/>
    </xf>
    <xf numFmtId="169" fontId="0" fillId="2" borderId="0" xfId="0" applyNumberFormat="1" applyFill="1"/>
    <xf numFmtId="1" fontId="29" fillId="3" borderId="0" xfId="6" applyNumberFormat="1" applyFont="1" applyFill="1"/>
    <xf numFmtId="41" fontId="2" fillId="3" borderId="0" xfId="6" applyFont="1" applyFill="1" applyBorder="1"/>
    <xf numFmtId="41" fontId="11" fillId="2" borderId="0" xfId="6" applyFont="1" applyFill="1" applyBorder="1"/>
    <xf numFmtId="41" fontId="0" fillId="0" borderId="0" xfId="6" applyFont="1"/>
    <xf numFmtId="41" fontId="0" fillId="0" borderId="0" xfId="6" applyFont="1" applyFill="1"/>
    <xf numFmtId="171" fontId="29" fillId="3" borderId="0" xfId="0" applyNumberFormat="1" applyFont="1" applyFill="1"/>
    <xf numFmtId="41" fontId="38" fillId="6" borderId="0" xfId="6" applyFont="1" applyFill="1" applyBorder="1" applyAlignment="1">
      <alignment vertical="center"/>
    </xf>
    <xf numFmtId="41" fontId="91" fillId="0" borderId="0" xfId="6" applyFont="1"/>
    <xf numFmtId="41" fontId="9" fillId="5" borderId="0" xfId="6" applyFont="1" applyFill="1" applyAlignment="1">
      <alignment vertical="center"/>
    </xf>
    <xf numFmtId="41" fontId="44" fillId="0" borderId="0" xfId="6" applyFont="1"/>
    <xf numFmtId="41" fontId="72" fillId="3" borderId="0" xfId="6" applyFont="1" applyFill="1" applyAlignment="1"/>
    <xf numFmtId="41" fontId="45" fillId="5" borderId="0" xfId="6" applyFont="1" applyFill="1" applyAlignment="1"/>
    <xf numFmtId="41" fontId="45" fillId="0" borderId="3" xfId="6" applyFont="1" applyBorder="1" applyAlignment="1">
      <alignment horizontal="center" wrapText="1"/>
    </xf>
    <xf numFmtId="41" fontId="44" fillId="0" borderId="0" xfId="6" applyFont="1" applyFill="1" applyBorder="1"/>
    <xf numFmtId="41" fontId="45" fillId="0" borderId="0" xfId="6" applyFont="1" applyFill="1" applyBorder="1"/>
    <xf numFmtId="169" fontId="44" fillId="0" borderId="3" xfId="8" applyNumberFormat="1" applyFont="1" applyFill="1" applyBorder="1"/>
    <xf numFmtId="41" fontId="45" fillId="0" borderId="0" xfId="6" applyFont="1"/>
    <xf numFmtId="41" fontId="44" fillId="0" borderId="3" xfId="6" applyFont="1" applyFill="1" applyBorder="1"/>
    <xf numFmtId="1" fontId="45" fillId="2" borderId="0" xfId="0" applyNumberFormat="1" applyFont="1" applyFill="1"/>
    <xf numFmtId="14" fontId="44" fillId="3" borderId="0" xfId="0" applyNumberFormat="1" applyFont="1" applyFill="1"/>
    <xf numFmtId="14" fontId="44" fillId="3" borderId="0" xfId="0" applyNumberFormat="1" applyFont="1" applyFill="1" applyAlignment="1">
      <alignment horizontal="right"/>
    </xf>
    <xf numFmtId="14" fontId="44" fillId="3" borderId="0" xfId="93" applyNumberFormat="1" applyFont="1" applyFill="1"/>
    <xf numFmtId="167" fontId="0" fillId="0" borderId="0" xfId="0" applyNumberFormat="1"/>
    <xf numFmtId="0" fontId="24" fillId="0" borderId="0" xfId="0" applyFont="1"/>
    <xf numFmtId="41" fontId="44" fillId="0" borderId="0" xfId="6" applyFont="1" applyFill="1"/>
    <xf numFmtId="41" fontId="41" fillId="2" borderId="10" xfId="6" applyFont="1" applyFill="1" applyBorder="1" applyAlignment="1">
      <alignment horizontal="center"/>
    </xf>
    <xf numFmtId="41" fontId="31" fillId="2" borderId="0" xfId="6" applyFont="1" applyFill="1" applyBorder="1" applyAlignment="1">
      <alignment horizontal="center"/>
    </xf>
    <xf numFmtId="41" fontId="41" fillId="2" borderId="0" xfId="6" applyFont="1" applyFill="1" applyBorder="1" applyAlignment="1">
      <alignment horizontal="center"/>
    </xf>
    <xf numFmtId="41" fontId="31" fillId="2" borderId="0" xfId="6" applyFont="1" applyFill="1" applyBorder="1"/>
    <xf numFmtId="41" fontId="11" fillId="0" borderId="33" xfId="5" applyNumberFormat="1" applyFont="1" applyFill="1" applyBorder="1" applyAlignment="1">
      <alignment horizontal="center" vertical="center" wrapText="1"/>
    </xf>
    <xf numFmtId="41" fontId="11" fillId="0" borderId="33" xfId="6" applyFont="1" applyFill="1" applyBorder="1" applyAlignment="1">
      <alignment horizontal="right" vertical="center" wrapText="1"/>
    </xf>
    <xf numFmtId="41" fontId="44" fillId="2" borderId="0" xfId="0" applyNumberFormat="1" applyFont="1" applyFill="1"/>
    <xf numFmtId="0" fontId="32" fillId="0" borderId="5" xfId="0" applyFont="1" applyBorder="1" applyAlignment="1">
      <alignment horizontal="left" vertical="justify" wrapText="1"/>
    </xf>
    <xf numFmtId="0" fontId="5" fillId="0" borderId="0" xfId="0" applyFont="1" applyAlignment="1">
      <alignment horizontal="left" vertical="justify" wrapText="1"/>
    </xf>
    <xf numFmtId="0" fontId="5" fillId="0" borderId="5" xfId="0" applyFont="1" applyBorder="1" applyAlignment="1">
      <alignment horizontal="left" vertical="justify" wrapText="1"/>
    </xf>
    <xf numFmtId="169" fontId="44" fillId="0" borderId="0" xfId="8" applyNumberFormat="1" applyFont="1" applyFill="1" applyBorder="1"/>
    <xf numFmtId="41" fontId="45" fillId="0" borderId="0" xfId="6" applyFont="1" applyFill="1"/>
    <xf numFmtId="167" fontId="0" fillId="3" borderId="0" xfId="0" applyNumberFormat="1" applyFill="1"/>
    <xf numFmtId="167" fontId="0" fillId="0" borderId="0" xfId="5" applyNumberFormat="1" applyFont="1" applyFill="1"/>
    <xf numFmtId="41" fontId="11" fillId="15" borderId="33" xfId="6" applyFont="1" applyFill="1" applyBorder="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0" fontId="0" fillId="0" borderId="0" xfId="0"/>
    <xf numFmtId="0" fontId="5" fillId="0" borderId="0" xfId="0" applyFont="1" applyAlignment="1">
      <alignment horizontal="left" vertical="center"/>
    </xf>
    <xf numFmtId="0" fontId="47" fillId="5" borderId="0" xfId="0" applyFont="1" applyFill="1" applyAlignment="1">
      <alignment horizontal="left" vertical="center"/>
    </xf>
    <xf numFmtId="0" fontId="47" fillId="5" borderId="0" xfId="0" applyFont="1" applyFill="1" applyAlignment="1">
      <alignment horizontal="left"/>
    </xf>
    <xf numFmtId="0" fontId="0" fillId="0" borderId="0" xfId="0" applyAlignment="1">
      <alignment horizontal="left"/>
    </xf>
    <xf numFmtId="0" fontId="29" fillId="0" borderId="0" xfId="0" applyFont="1" applyAlignment="1">
      <alignment horizontal="left"/>
    </xf>
    <xf numFmtId="0" fontId="5" fillId="0" borderId="0" xfId="0" applyFont="1" applyAlignment="1">
      <alignment horizontal="left"/>
    </xf>
    <xf numFmtId="3" fontId="29" fillId="0" borderId="0" xfId="0" applyNumberFormat="1" applyFont="1" applyAlignment="1">
      <alignment horizontal="center"/>
    </xf>
    <xf numFmtId="0" fontId="29" fillId="0" borderId="0" xfId="0" applyFont="1" applyAlignment="1">
      <alignment horizontal="center"/>
    </xf>
    <xf numFmtId="0" fontId="38" fillId="5" borderId="0" xfId="0" applyFont="1" applyFill="1" applyAlignment="1">
      <alignment horizontal="center" vertical="center" wrapText="1"/>
    </xf>
    <xf numFmtId="167" fontId="38" fillId="5" borderId="0" xfId="5" applyNumberFormat="1" applyFont="1" applyFill="1" applyAlignment="1">
      <alignment horizontal="center" vertical="center" wrapText="1"/>
    </xf>
    <xf numFmtId="167" fontId="38" fillId="5" borderId="3" xfId="5" applyNumberFormat="1" applyFont="1" applyFill="1" applyBorder="1" applyAlignment="1">
      <alignment horizontal="center" vertical="center" wrapText="1"/>
    </xf>
    <xf numFmtId="0" fontId="34" fillId="0" borderId="0" xfId="0" applyFont="1" applyAlignment="1">
      <alignment horizontal="center"/>
    </xf>
    <xf numFmtId="0" fontId="38" fillId="0" borderId="0" xfId="0" applyFont="1" applyAlignment="1">
      <alignment horizontal="center" vertical="center" wrapText="1"/>
    </xf>
    <xf numFmtId="0" fontId="34" fillId="4" borderId="0" xfId="0" applyFont="1" applyFill="1" applyAlignment="1">
      <alignment horizontal="center"/>
    </xf>
    <xf numFmtId="0" fontId="9" fillId="0" borderId="0" xfId="0" applyFont="1" applyAlignment="1">
      <alignment horizontal="center"/>
    </xf>
    <xf numFmtId="0" fontId="8" fillId="0" borderId="0" xfId="0" applyFont="1" applyAlignment="1">
      <alignment horizontal="center"/>
    </xf>
    <xf numFmtId="0" fontId="30" fillId="0" borderId="0" xfId="0" applyFont="1" applyAlignment="1">
      <alignment horizontal="left" vertical="center"/>
    </xf>
    <xf numFmtId="0" fontId="29" fillId="0" borderId="0" xfId="0" applyFont="1" applyAlignment="1">
      <alignment horizontal="center" vertical="center"/>
    </xf>
    <xf numFmtId="0" fontId="29" fillId="0" borderId="5" xfId="0" applyFont="1" applyBorder="1" applyAlignment="1">
      <alignment horizontal="center" vertical="center"/>
    </xf>
    <xf numFmtId="0" fontId="32" fillId="0" borderId="0" xfId="0" applyFont="1" applyAlignment="1">
      <alignment horizontal="justify" vertical="justify" wrapText="1"/>
    </xf>
    <xf numFmtId="0" fontId="32" fillId="0" borderId="5" xfId="0" applyFont="1" applyBorder="1" applyAlignment="1">
      <alignment horizontal="justify" vertical="justify" wrapText="1"/>
    </xf>
    <xf numFmtId="0" fontId="32" fillId="0" borderId="0" xfId="0" applyFont="1" applyAlignment="1">
      <alignment horizontal="left" vertical="justify" wrapText="1"/>
    </xf>
    <xf numFmtId="0" fontId="29" fillId="0" borderId="0" xfId="0" applyFont="1" applyAlignment="1">
      <alignment horizontal="left" vertical="justify" wrapText="1"/>
    </xf>
    <xf numFmtId="0" fontId="30" fillId="0" borderId="0" xfId="0" applyFont="1" applyAlignment="1">
      <alignment horizontal="left" vertical="justify" wrapText="1"/>
    </xf>
    <xf numFmtId="0" fontId="30" fillId="0" borderId="5" xfId="0" applyFont="1" applyBorder="1" applyAlignment="1">
      <alignment horizontal="left" vertical="justify" wrapText="1"/>
    </xf>
    <xf numFmtId="0" fontId="29" fillId="0" borderId="5" xfId="0" applyFont="1" applyBorder="1" applyAlignment="1">
      <alignment horizontal="left" vertical="justify" wrapText="1"/>
    </xf>
    <xf numFmtId="0" fontId="29" fillId="0" borderId="0" xfId="0" applyFont="1" applyAlignment="1">
      <alignment horizontal="left" vertical="top" wrapText="1"/>
    </xf>
    <xf numFmtId="0" fontId="2" fillId="0" borderId="6" xfId="0" applyFont="1" applyBorder="1" applyAlignment="1">
      <alignment horizontal="left" vertical="justify" wrapText="1"/>
    </xf>
    <xf numFmtId="0" fontId="2" fillId="0" borderId="3" xfId="0" applyFont="1" applyBorder="1" applyAlignment="1">
      <alignment horizontal="left" vertical="justify" wrapText="1"/>
    </xf>
    <xf numFmtId="0" fontId="2" fillId="0" borderId="7" xfId="0" applyFont="1" applyBorder="1" applyAlignment="1">
      <alignment horizontal="left" vertical="justify" wrapText="1"/>
    </xf>
    <xf numFmtId="0" fontId="30" fillId="0" borderId="0" xfId="0" applyFont="1" applyAlignment="1">
      <alignment horizontal="left"/>
    </xf>
    <xf numFmtId="0" fontId="30" fillId="0" borderId="5" xfId="0" applyFont="1" applyBorder="1" applyAlignment="1">
      <alignment horizontal="left"/>
    </xf>
    <xf numFmtId="0" fontId="84" fillId="13" borderId="0" xfId="0" applyFont="1" applyFill="1" applyAlignment="1">
      <alignment horizontal="left" vertical="center" wrapText="1"/>
    </xf>
    <xf numFmtId="0" fontId="84" fillId="13" borderId="5" xfId="0" applyFont="1" applyFill="1" applyBorder="1" applyAlignment="1">
      <alignment horizontal="left" vertical="center" wrapText="1"/>
    </xf>
    <xf numFmtId="0" fontId="29" fillId="0" borderId="8" xfId="0" applyFont="1" applyBorder="1" applyAlignment="1">
      <alignment horizontal="left" vertical="justify" wrapText="1"/>
    </xf>
    <xf numFmtId="0" fontId="30" fillId="0" borderId="8" xfId="0" applyFont="1" applyBorder="1" applyAlignment="1">
      <alignment horizontal="left" vertical="justify" wrapText="1"/>
    </xf>
    <xf numFmtId="0" fontId="85" fillId="13" borderId="0" xfId="0" applyFont="1" applyFill="1" applyAlignment="1">
      <alignment horizontal="left" wrapText="1"/>
    </xf>
    <xf numFmtId="0" fontId="85" fillId="13" borderId="5" xfId="0" applyFont="1" applyFill="1" applyBorder="1" applyAlignment="1">
      <alignment horizontal="left" wrapText="1"/>
    </xf>
    <xf numFmtId="0" fontId="11" fillId="0" borderId="0" xfId="0" applyFont="1" applyAlignment="1">
      <alignment horizontal="justify" vertical="justify" wrapText="1"/>
    </xf>
    <xf numFmtId="0" fontId="11" fillId="0" borderId="5" xfId="0" applyFont="1" applyBorder="1" applyAlignment="1">
      <alignment horizontal="justify" vertical="justify" wrapText="1"/>
    </xf>
    <xf numFmtId="0" fontId="32" fillId="0" borderId="5" xfId="0" applyFont="1" applyBorder="1" applyAlignment="1">
      <alignment horizontal="left" vertical="justify" wrapText="1"/>
    </xf>
    <xf numFmtId="0" fontId="5" fillId="0" borderId="0" xfId="0" applyFont="1" applyAlignment="1">
      <alignment horizontal="left" vertical="justify" wrapText="1"/>
    </xf>
    <xf numFmtId="0" fontId="5" fillId="0" borderId="5" xfId="0" applyFont="1" applyBorder="1" applyAlignment="1">
      <alignment horizontal="left" vertical="justify" wrapText="1"/>
    </xf>
    <xf numFmtId="0" fontId="38" fillId="5" borderId="8" xfId="0" applyFont="1" applyFill="1" applyBorder="1" applyAlignment="1">
      <alignment horizontal="left" vertical="center"/>
    </xf>
    <xf numFmtId="0" fontId="38" fillId="5" borderId="0" xfId="0" applyFont="1" applyFill="1" applyAlignment="1">
      <alignment horizontal="left" vertical="center"/>
    </xf>
    <xf numFmtId="0" fontId="38" fillId="5" borderId="5" xfId="0" applyFont="1" applyFill="1" applyBorder="1" applyAlignment="1">
      <alignment horizontal="left" vertical="center"/>
    </xf>
    <xf numFmtId="0" fontId="49" fillId="0" borderId="8" xfId="0" applyFont="1" applyBorder="1" applyAlignment="1">
      <alignment horizontal="left" vertical="top" wrapText="1"/>
    </xf>
    <xf numFmtId="0" fontId="49" fillId="0" borderId="0" xfId="0" applyFont="1" applyAlignment="1">
      <alignment horizontal="left" vertical="top" wrapText="1"/>
    </xf>
    <xf numFmtId="0" fontId="49" fillId="0" borderId="5" xfId="0" applyFont="1" applyBorder="1" applyAlignment="1">
      <alignment horizontal="left" vertical="top" wrapText="1"/>
    </xf>
    <xf numFmtId="0" fontId="11" fillId="0" borderId="25" xfId="0" applyFont="1" applyBorder="1" applyAlignment="1">
      <alignment horizontal="justify" vertical="justify" wrapText="1"/>
    </xf>
    <xf numFmtId="0" fontId="11" fillId="0" borderId="10" xfId="0" applyFont="1" applyBorder="1" applyAlignment="1">
      <alignment horizontal="justify" vertical="justify" wrapText="1"/>
    </xf>
    <xf numFmtId="0" fontId="11" fillId="0" borderId="26" xfId="0" applyFont="1" applyBorder="1" applyAlignment="1">
      <alignment horizontal="justify" vertical="justify" wrapText="1"/>
    </xf>
    <xf numFmtId="0" fontId="32" fillId="0" borderId="8" xfId="0" applyFont="1" applyBorder="1" applyAlignment="1">
      <alignment horizontal="justify" vertical="justify" wrapText="1"/>
    </xf>
    <xf numFmtId="0" fontId="32" fillId="0" borderId="0" xfId="0" applyFont="1" applyAlignment="1">
      <alignment horizontal="justify" vertical="justify"/>
    </xf>
    <xf numFmtId="0" fontId="32" fillId="0" borderId="5" xfId="0" applyFont="1" applyBorder="1" applyAlignment="1">
      <alignment horizontal="justify" vertical="justify"/>
    </xf>
    <xf numFmtId="0" fontId="5" fillId="0" borderId="8" xfId="0" applyFont="1" applyBorder="1" applyAlignment="1">
      <alignment horizontal="left" vertical="justify" wrapText="1"/>
    </xf>
    <xf numFmtId="0" fontId="31" fillId="0" borderId="0" xfId="0" applyFont="1"/>
    <xf numFmtId="0" fontId="31" fillId="0" borderId="48" xfId="0" applyFont="1" applyBorder="1"/>
    <xf numFmtId="0" fontId="38" fillId="5" borderId="0" xfId="0" applyFont="1" applyFill="1" applyAlignment="1">
      <alignment horizontal="left"/>
    </xf>
    <xf numFmtId="0" fontId="51" fillId="3" borderId="0" xfId="0" applyFont="1" applyFill="1" applyAlignment="1">
      <alignment horizontal="center"/>
    </xf>
    <xf numFmtId="0" fontId="32" fillId="3" borderId="2" xfId="0" applyFont="1" applyFill="1" applyBorder="1" applyAlignment="1">
      <alignment horizontal="center"/>
    </xf>
    <xf numFmtId="0" fontId="32" fillId="3" borderId="28" xfId="0" applyFont="1" applyFill="1" applyBorder="1" applyAlignment="1">
      <alignment horizontal="center"/>
    </xf>
    <xf numFmtId="0" fontId="29" fillId="0" borderId="0" xfId="0" applyFont="1" applyAlignment="1">
      <alignment horizontal="left" vertical="center" wrapText="1"/>
    </xf>
    <xf numFmtId="0" fontId="29" fillId="0" borderId="0" xfId="0" applyFont="1" applyAlignment="1">
      <alignment horizontal="left" vertical="center"/>
    </xf>
    <xf numFmtId="0" fontId="66" fillId="9" borderId="2" xfId="18" applyFont="1" applyFill="1" applyBorder="1" applyAlignment="1">
      <alignment horizontal="left" vertical="center"/>
    </xf>
    <xf numFmtId="0" fontId="66" fillId="9" borderId="9" xfId="18" applyFont="1" applyFill="1" applyBorder="1" applyAlignment="1">
      <alignment horizontal="left" vertical="center"/>
    </xf>
    <xf numFmtId="0" fontId="66" fillId="9" borderId="28" xfId="18" applyFont="1" applyFill="1" applyBorder="1" applyAlignment="1">
      <alignment horizontal="left" vertical="center"/>
    </xf>
    <xf numFmtId="0" fontId="0" fillId="2" borderId="0" xfId="0" applyFill="1" applyAlignment="1">
      <alignment horizontal="left" vertical="top" wrapText="1"/>
    </xf>
    <xf numFmtId="0" fontId="28" fillId="2" borderId="0" xfId="0" applyFont="1" applyFill="1" applyAlignment="1">
      <alignment horizontal="center" vertical="center"/>
    </xf>
    <xf numFmtId="0" fontId="54" fillId="3" borderId="0" xfId="0" applyFont="1" applyFill="1" applyAlignment="1">
      <alignment horizontal="left"/>
    </xf>
    <xf numFmtId="0" fontId="38" fillId="5" borderId="0" xfId="0" applyFont="1" applyFill="1" applyAlignment="1">
      <alignment horizontal="center" vertical="center"/>
    </xf>
    <xf numFmtId="0" fontId="0" fillId="2" borderId="0" xfId="0" applyFill="1" applyAlignment="1">
      <alignment horizontal="center"/>
    </xf>
    <xf numFmtId="0" fontId="53" fillId="2" borderId="0" xfId="0" applyFont="1" applyFill="1" applyAlignment="1">
      <alignment horizontal="center"/>
    </xf>
    <xf numFmtId="0" fontId="84" fillId="2" borderId="0" xfId="0" applyFont="1" applyFill="1" applyAlignment="1">
      <alignment horizontal="left" wrapText="1"/>
    </xf>
    <xf numFmtId="0" fontId="11" fillId="0" borderId="32" xfId="0" applyFont="1" applyBorder="1" applyAlignment="1">
      <alignment horizontal="center" vertical="center" wrapText="1"/>
    </xf>
    <xf numFmtId="0" fontId="11" fillId="0" borderId="34" xfId="0" applyFont="1" applyBorder="1" applyAlignment="1">
      <alignment horizontal="center" vertical="center" wrapText="1"/>
    </xf>
    <xf numFmtId="9" fontId="31" fillId="2" borderId="0" xfId="93" applyFont="1" applyFill="1" applyBorder="1" applyAlignment="1">
      <alignment horizontal="center"/>
    </xf>
    <xf numFmtId="9" fontId="64" fillId="2" borderId="0" xfId="93" applyFont="1" applyFill="1" applyBorder="1" applyAlignment="1">
      <alignment horizontal="left"/>
    </xf>
    <xf numFmtId="0" fontId="49" fillId="2" borderId="0" xfId="0" applyFont="1" applyFill="1" applyAlignment="1">
      <alignment horizontal="left"/>
    </xf>
    <xf numFmtId="0" fontId="44" fillId="2" borderId="0" xfId="0" applyFont="1" applyFill="1" applyAlignment="1">
      <alignment horizontal="left"/>
    </xf>
    <xf numFmtId="0" fontId="44" fillId="2" borderId="0" xfId="0" applyFont="1" applyFill="1" applyAlignment="1">
      <alignment horizontal="left" vertical="center" wrapText="1"/>
    </xf>
    <xf numFmtId="0" fontId="24" fillId="5" borderId="0" xfId="0" applyFont="1" applyFill="1" applyAlignment="1">
      <alignment horizontal="left"/>
    </xf>
    <xf numFmtId="0" fontId="56" fillId="0" borderId="0" xfId="0" applyFont="1" applyAlignment="1">
      <alignment horizontal="left" vertical="center" wrapText="1"/>
    </xf>
    <xf numFmtId="0" fontId="56" fillId="2" borderId="0" xfId="0" applyFont="1" applyFill="1" applyAlignment="1">
      <alignment horizontal="left" vertical="center" wrapText="1"/>
    </xf>
    <xf numFmtId="0" fontId="56" fillId="2" borderId="0" xfId="0" applyFont="1" applyFill="1" applyAlignment="1">
      <alignment horizontal="left" vertical="center"/>
    </xf>
    <xf numFmtId="0" fontId="44" fillId="0" borderId="0" xfId="0" applyFont="1" applyAlignment="1">
      <alignment horizontal="left" wrapText="1"/>
    </xf>
    <xf numFmtId="0" fontId="86" fillId="0" borderId="0" xfId="0" applyFont="1" applyAlignment="1">
      <alignment horizontal="left" vertical="center" wrapText="1"/>
    </xf>
    <xf numFmtId="0" fontId="86" fillId="0" borderId="0" xfId="0" applyFont="1" applyAlignment="1">
      <alignment horizontal="left"/>
    </xf>
  </cellXfs>
  <cellStyles count="94">
    <cellStyle name="Comma 4 2" xfId="1" xr:uid="{00000000-0005-0000-0000-000000000000}"/>
    <cellStyle name="Excel Built-in Normal" xfId="2" xr:uid="{00000000-0005-0000-0000-000001000000}"/>
    <cellStyle name="Excel Built-in Normal 2" xfId="3" xr:uid="{00000000-0005-0000-0000-000002000000}"/>
    <cellStyle name="Hipervínculo" xfId="4" builtinId="8"/>
    <cellStyle name="Millares" xfId="5" builtinId="3"/>
    <cellStyle name="Millares [0]" xfId="6" builtinId="6"/>
    <cellStyle name="Millares [0] 3" xfId="7" xr:uid="{00000000-0005-0000-0000-000006000000}"/>
    <cellStyle name="Millares 100 11" xfId="8" xr:uid="{00000000-0005-0000-0000-000007000000}"/>
    <cellStyle name="Millares 17" xfId="9" xr:uid="{00000000-0005-0000-0000-000008000000}"/>
    <cellStyle name="Millares 174 2" xfId="10" xr:uid="{00000000-0005-0000-0000-000009000000}"/>
    <cellStyle name="Millares 2" xfId="11" xr:uid="{00000000-0005-0000-0000-00000A000000}"/>
    <cellStyle name="Millares 2 2" xfId="12" xr:uid="{00000000-0005-0000-0000-00000B000000}"/>
    <cellStyle name="Millares 212" xfId="13" xr:uid="{00000000-0005-0000-0000-00000C000000}"/>
    <cellStyle name="Millares 3 11" xfId="14" xr:uid="{00000000-0005-0000-0000-00000D000000}"/>
    <cellStyle name="Millares 654 2 2" xfId="15" xr:uid="{00000000-0005-0000-0000-00000E000000}"/>
    <cellStyle name="Millares 656" xfId="16" xr:uid="{00000000-0005-0000-0000-00000F000000}"/>
    <cellStyle name="Millares 657" xfId="17" xr:uid="{00000000-0005-0000-0000-000010000000}"/>
    <cellStyle name="Normal" xfId="0" builtinId="0"/>
    <cellStyle name="Normal 10 10 2 2 2" xfId="18" xr:uid="{00000000-0005-0000-0000-000012000000}"/>
    <cellStyle name="Normal 1016" xfId="19" xr:uid="{00000000-0005-0000-0000-000013000000}"/>
    <cellStyle name="Normal 1018" xfId="20" xr:uid="{00000000-0005-0000-0000-000014000000}"/>
    <cellStyle name="Normal 1022" xfId="21" xr:uid="{00000000-0005-0000-0000-000015000000}"/>
    <cellStyle name="Normal 1024" xfId="22" xr:uid="{00000000-0005-0000-0000-000016000000}"/>
    <cellStyle name="Normal 1025" xfId="23" xr:uid="{00000000-0005-0000-0000-000017000000}"/>
    <cellStyle name="Normal 1026" xfId="24" xr:uid="{00000000-0005-0000-0000-000018000000}"/>
    <cellStyle name="Normal 1027" xfId="25" xr:uid="{00000000-0005-0000-0000-000019000000}"/>
    <cellStyle name="Normal 105" xfId="26" xr:uid="{00000000-0005-0000-0000-00001A000000}"/>
    <cellStyle name="Normal 107" xfId="27" xr:uid="{00000000-0005-0000-0000-00001B000000}"/>
    <cellStyle name="Normal 109" xfId="28" xr:uid="{00000000-0005-0000-0000-00001C000000}"/>
    <cellStyle name="Normal 12 10" xfId="29" xr:uid="{00000000-0005-0000-0000-00001D000000}"/>
    <cellStyle name="Normal 12 2 10" xfId="30" xr:uid="{00000000-0005-0000-0000-00001E000000}"/>
    <cellStyle name="Normal 12 2 2 4" xfId="31" xr:uid="{00000000-0005-0000-0000-00001F000000}"/>
    <cellStyle name="Normal 125" xfId="32" xr:uid="{00000000-0005-0000-0000-000020000000}"/>
    <cellStyle name="Normal 126" xfId="33" xr:uid="{00000000-0005-0000-0000-000021000000}"/>
    <cellStyle name="Normal 199 2 2" xfId="34" xr:uid="{00000000-0005-0000-0000-000022000000}"/>
    <cellStyle name="Normal 2" xfId="35" xr:uid="{00000000-0005-0000-0000-000023000000}"/>
    <cellStyle name="Normal 2 10 2 2 2" xfId="36" xr:uid="{00000000-0005-0000-0000-000024000000}"/>
    <cellStyle name="Normal 2 2 2 3" xfId="37" xr:uid="{00000000-0005-0000-0000-000025000000}"/>
    <cellStyle name="Normal 5" xfId="38" xr:uid="{00000000-0005-0000-0000-000026000000}"/>
    <cellStyle name="Normal 601" xfId="39" xr:uid="{00000000-0005-0000-0000-000027000000}"/>
    <cellStyle name="Normal 605" xfId="40" xr:uid="{00000000-0005-0000-0000-000028000000}"/>
    <cellStyle name="Normal 606" xfId="41" xr:uid="{00000000-0005-0000-0000-000029000000}"/>
    <cellStyle name="Normal 636" xfId="42" xr:uid="{00000000-0005-0000-0000-00002A000000}"/>
    <cellStyle name="Normal 640" xfId="43" xr:uid="{00000000-0005-0000-0000-00002B000000}"/>
    <cellStyle name="Normal 643" xfId="44" xr:uid="{00000000-0005-0000-0000-00002C000000}"/>
    <cellStyle name="Normal 646" xfId="45" xr:uid="{00000000-0005-0000-0000-00002D000000}"/>
    <cellStyle name="Normal 647" xfId="46" xr:uid="{00000000-0005-0000-0000-00002E000000}"/>
    <cellStyle name="Normal 649" xfId="47" xr:uid="{00000000-0005-0000-0000-00002F000000}"/>
    <cellStyle name="Normal 650" xfId="48" xr:uid="{00000000-0005-0000-0000-000030000000}"/>
    <cellStyle name="Normal 651" xfId="49" xr:uid="{00000000-0005-0000-0000-000031000000}"/>
    <cellStyle name="Normal 652" xfId="50" xr:uid="{00000000-0005-0000-0000-000032000000}"/>
    <cellStyle name="Normal 653" xfId="51" xr:uid="{00000000-0005-0000-0000-000033000000}"/>
    <cellStyle name="Normal 654" xfId="52" xr:uid="{00000000-0005-0000-0000-000034000000}"/>
    <cellStyle name="Normal 655" xfId="53" xr:uid="{00000000-0005-0000-0000-000035000000}"/>
    <cellStyle name="Normal 656" xfId="54" xr:uid="{00000000-0005-0000-0000-000036000000}"/>
    <cellStyle name="Normal 657" xfId="55" xr:uid="{00000000-0005-0000-0000-000037000000}"/>
    <cellStyle name="Normal 658" xfId="56" xr:uid="{00000000-0005-0000-0000-000038000000}"/>
    <cellStyle name="Normal 659" xfId="57" xr:uid="{00000000-0005-0000-0000-000039000000}"/>
    <cellStyle name="Normal 660" xfId="58" xr:uid="{00000000-0005-0000-0000-00003A000000}"/>
    <cellStyle name="Normal 662" xfId="59" xr:uid="{00000000-0005-0000-0000-00003B000000}"/>
    <cellStyle name="Normal 663" xfId="60" xr:uid="{00000000-0005-0000-0000-00003C000000}"/>
    <cellStyle name="Normal 664" xfId="61" xr:uid="{00000000-0005-0000-0000-00003D000000}"/>
    <cellStyle name="Normal 665" xfId="62" xr:uid="{00000000-0005-0000-0000-00003E000000}"/>
    <cellStyle name="Normal 667" xfId="63" xr:uid="{00000000-0005-0000-0000-00003F000000}"/>
    <cellStyle name="Normal 673" xfId="64" xr:uid="{00000000-0005-0000-0000-000040000000}"/>
    <cellStyle name="Normal 674" xfId="65" xr:uid="{00000000-0005-0000-0000-000041000000}"/>
    <cellStyle name="Normal 675" xfId="66" xr:uid="{00000000-0005-0000-0000-000042000000}"/>
    <cellStyle name="Normal 676" xfId="67" xr:uid="{00000000-0005-0000-0000-000043000000}"/>
    <cellStyle name="Normal 677" xfId="68" xr:uid="{00000000-0005-0000-0000-000044000000}"/>
    <cellStyle name="Normal 678" xfId="69" xr:uid="{00000000-0005-0000-0000-000045000000}"/>
    <cellStyle name="Normal 679" xfId="70" xr:uid="{00000000-0005-0000-0000-000046000000}"/>
    <cellStyle name="Normal 684" xfId="71" xr:uid="{00000000-0005-0000-0000-000047000000}"/>
    <cellStyle name="Normal 713" xfId="72" xr:uid="{00000000-0005-0000-0000-000048000000}"/>
    <cellStyle name="Normal 714" xfId="73" xr:uid="{00000000-0005-0000-0000-000049000000}"/>
    <cellStyle name="Normal 715" xfId="74" xr:uid="{00000000-0005-0000-0000-00004A000000}"/>
    <cellStyle name="Normal 744" xfId="75" xr:uid="{00000000-0005-0000-0000-00004B000000}"/>
    <cellStyle name="Normal 802" xfId="76" xr:uid="{00000000-0005-0000-0000-00004C000000}"/>
    <cellStyle name="Normal 944" xfId="77" xr:uid="{00000000-0005-0000-0000-00004D000000}"/>
    <cellStyle name="Normal 947" xfId="78" xr:uid="{00000000-0005-0000-0000-00004E000000}"/>
    <cellStyle name="Normal 952" xfId="79" xr:uid="{00000000-0005-0000-0000-00004F000000}"/>
    <cellStyle name="Normal 957" xfId="80" xr:uid="{00000000-0005-0000-0000-000050000000}"/>
    <cellStyle name="Normal 958" xfId="81" xr:uid="{00000000-0005-0000-0000-000051000000}"/>
    <cellStyle name="Normal 959" xfId="82" xr:uid="{00000000-0005-0000-0000-000052000000}"/>
    <cellStyle name="Normal 960" xfId="83" xr:uid="{00000000-0005-0000-0000-000053000000}"/>
    <cellStyle name="Normal 961" xfId="84" xr:uid="{00000000-0005-0000-0000-000054000000}"/>
    <cellStyle name="Normal 962" xfId="85" xr:uid="{00000000-0005-0000-0000-000055000000}"/>
    <cellStyle name="Normal 963" xfId="86" xr:uid="{00000000-0005-0000-0000-000056000000}"/>
    <cellStyle name="Normal 964" xfId="87" xr:uid="{00000000-0005-0000-0000-000057000000}"/>
    <cellStyle name="Normal 965" xfId="88" xr:uid="{00000000-0005-0000-0000-000058000000}"/>
    <cellStyle name="Normal 966" xfId="89" xr:uid="{00000000-0005-0000-0000-000059000000}"/>
    <cellStyle name="Normal 967" xfId="90" xr:uid="{00000000-0005-0000-0000-00005A000000}"/>
    <cellStyle name="Normal 971" xfId="91" xr:uid="{00000000-0005-0000-0000-00005B000000}"/>
    <cellStyle name="Normal 986" xfId="92" xr:uid="{00000000-0005-0000-0000-00005C000000}"/>
    <cellStyle name="Porcentaje" xfId="9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externalLink" Target="externalLinks/externalLink1.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7.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7.png"/></Relationships>
</file>

<file path=xl/drawings/_rels/drawing7.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30480</xdr:colOff>
      <xdr:row>2</xdr:row>
      <xdr:rowOff>99060</xdr:rowOff>
    </xdr:to>
    <xdr:pic>
      <xdr:nvPicPr>
        <xdr:cNvPr id="2058" name="1 Imagen">
          <a:extLst>
            <a:ext uri="{FF2B5EF4-FFF2-40B4-BE49-F238E27FC236}">
              <a16:creationId xmlns:a16="http://schemas.microsoft.com/office/drawing/2014/main" id="{00000000-0008-0000-0000-00000A0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50114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oneCellAnchor>
    <xdr:from>
      <xdr:col>0</xdr:col>
      <xdr:colOff>878207</xdr:colOff>
      <xdr:row>7</xdr:row>
      <xdr:rowOff>153551</xdr:rowOff>
    </xdr:from>
    <xdr:ext cx="3319776" cy="939237"/>
    <xdr:sp macro="" textlink="">
      <xdr:nvSpPr>
        <xdr:cNvPr id="3" name="2 Rectángulo">
          <a:extLst>
            <a:ext uri="{FF2B5EF4-FFF2-40B4-BE49-F238E27FC236}">
              <a16:creationId xmlns:a16="http://schemas.microsoft.com/office/drawing/2014/main" id="{00000000-0008-0000-1A00-000003000000}"/>
            </a:ext>
          </a:extLst>
        </xdr:cNvPr>
        <xdr:cNvSpPr/>
      </xdr:nvSpPr>
      <xdr:spPr>
        <a:xfrm rot="21144321">
          <a:off x="883922" y="1455513"/>
          <a:ext cx="3317342" cy="939237"/>
        </a:xfrm>
        <a:prstGeom prst="rect">
          <a:avLst/>
        </a:prstGeom>
        <a:noFill/>
      </xdr:spPr>
      <xdr:txBody>
        <a:bodyPr wrap="squar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5400" b="1"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0</xdr:col>
      <xdr:colOff>1033038</xdr:colOff>
      <xdr:row>7</xdr:row>
      <xdr:rowOff>67758</xdr:rowOff>
    </xdr:from>
    <xdr:ext cx="3317447" cy="937629"/>
    <xdr:sp macro="" textlink="">
      <xdr:nvSpPr>
        <xdr:cNvPr id="3" name="2 Rectángulo">
          <a:extLst>
            <a:ext uri="{FF2B5EF4-FFF2-40B4-BE49-F238E27FC236}">
              <a16:creationId xmlns:a16="http://schemas.microsoft.com/office/drawing/2014/main" id="{00000000-0008-0000-1C00-000003000000}"/>
            </a:ext>
          </a:extLst>
        </xdr:cNvPr>
        <xdr:cNvSpPr/>
      </xdr:nvSpPr>
      <xdr:spPr>
        <a:xfrm rot="21144321">
          <a:off x="1033038" y="1401258"/>
          <a:ext cx="3317447" cy="937629"/>
        </a:xfrm>
        <a:prstGeom prst="rect">
          <a:avLst/>
        </a:prstGeom>
        <a:noFill/>
      </xdr:spPr>
      <xdr:txBody>
        <a:bodyPr wrap="non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5400" b="1"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wsDr>
</file>

<file path=xl/drawings/drawing12.xml><?xml version="1.0" encoding="utf-8"?>
<xdr:wsDr xmlns:xdr="http://schemas.openxmlformats.org/drawingml/2006/spreadsheetDrawing" xmlns:a="http://schemas.openxmlformats.org/drawingml/2006/main">
  <xdr:twoCellAnchor editAs="oneCell">
    <xdr:from>
      <xdr:col>0</xdr:col>
      <xdr:colOff>1950720</xdr:colOff>
      <xdr:row>7</xdr:row>
      <xdr:rowOff>76200</xdr:rowOff>
    </xdr:from>
    <xdr:to>
      <xdr:col>2</xdr:col>
      <xdr:colOff>632460</xdr:colOff>
      <xdr:row>11</xdr:row>
      <xdr:rowOff>175260</xdr:rowOff>
    </xdr:to>
    <xdr:pic>
      <xdr:nvPicPr>
        <xdr:cNvPr id="30725" name="2 Imagen">
          <a:extLst>
            <a:ext uri="{FF2B5EF4-FFF2-40B4-BE49-F238E27FC236}">
              <a16:creationId xmlns:a16="http://schemas.microsoft.com/office/drawing/2014/main" id="{00000000-0008-0000-2200-0000057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0720" y="1428750"/>
          <a:ext cx="2901315" cy="861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oneCellAnchor>
    <xdr:from>
      <xdr:col>0</xdr:col>
      <xdr:colOff>2938854</xdr:colOff>
      <xdr:row>9</xdr:row>
      <xdr:rowOff>31689</xdr:rowOff>
    </xdr:from>
    <xdr:ext cx="2505365" cy="718466"/>
    <xdr:sp macro="" textlink="">
      <xdr:nvSpPr>
        <xdr:cNvPr id="2" name="1 Rectángulo">
          <a:extLst>
            <a:ext uri="{FF2B5EF4-FFF2-40B4-BE49-F238E27FC236}">
              <a16:creationId xmlns:a16="http://schemas.microsoft.com/office/drawing/2014/main" id="{00000000-0008-0000-2300-000002000000}"/>
            </a:ext>
          </a:extLst>
        </xdr:cNvPr>
        <xdr:cNvSpPr/>
      </xdr:nvSpPr>
      <xdr:spPr>
        <a:xfrm rot="21144321">
          <a:off x="2938854" y="1708089"/>
          <a:ext cx="2505365" cy="718466"/>
        </a:xfrm>
        <a:prstGeom prst="rect">
          <a:avLst/>
        </a:prstGeom>
        <a:noFill/>
      </xdr:spPr>
      <xdr:txBody>
        <a:bodyPr wrap="non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4000" b="1"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wsDr>
</file>

<file path=xl/drawings/drawing14.xml><?xml version="1.0" encoding="utf-8"?>
<xdr:wsDr xmlns:xdr="http://schemas.openxmlformats.org/drawingml/2006/spreadsheetDrawing" xmlns:a="http://schemas.openxmlformats.org/drawingml/2006/main">
  <xdr:oneCellAnchor>
    <xdr:from>
      <xdr:col>0</xdr:col>
      <xdr:colOff>2965641</xdr:colOff>
      <xdr:row>6</xdr:row>
      <xdr:rowOff>148744</xdr:rowOff>
    </xdr:from>
    <xdr:ext cx="2347100" cy="638071"/>
    <xdr:sp macro="" textlink="">
      <xdr:nvSpPr>
        <xdr:cNvPr id="2" name="1 Rectángulo">
          <a:extLst>
            <a:ext uri="{FF2B5EF4-FFF2-40B4-BE49-F238E27FC236}">
              <a16:creationId xmlns:a16="http://schemas.microsoft.com/office/drawing/2014/main" id="{00000000-0008-0000-2500-000002000000}"/>
            </a:ext>
          </a:extLst>
        </xdr:cNvPr>
        <xdr:cNvSpPr/>
      </xdr:nvSpPr>
      <xdr:spPr>
        <a:xfrm rot="21144321">
          <a:off x="2958021" y="1244119"/>
          <a:ext cx="2347954" cy="639197"/>
        </a:xfrm>
        <a:prstGeom prst="rect">
          <a:avLst/>
        </a:prstGeom>
        <a:noFill/>
      </xdr:spPr>
      <xdr:txBody>
        <a:bodyPr wrap="none" lIns="91440" tIns="45720" rIns="91440" bIns="45720">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5400" b="1"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wsDr>
</file>

<file path=xl/drawings/drawing15.xml><?xml version="1.0" encoding="utf-8"?>
<xdr:wsDr xmlns:xdr="http://schemas.openxmlformats.org/drawingml/2006/spreadsheetDrawing" xmlns:a="http://schemas.openxmlformats.org/drawingml/2006/main">
  <xdr:oneCellAnchor>
    <xdr:from>
      <xdr:col>0</xdr:col>
      <xdr:colOff>3027450</xdr:colOff>
      <xdr:row>6</xdr:row>
      <xdr:rowOff>111064</xdr:rowOff>
    </xdr:from>
    <xdr:ext cx="3665305" cy="946821"/>
    <xdr:sp macro="" textlink="">
      <xdr:nvSpPr>
        <xdr:cNvPr id="2" name="1 Rectángulo">
          <a:extLst>
            <a:ext uri="{FF2B5EF4-FFF2-40B4-BE49-F238E27FC236}">
              <a16:creationId xmlns:a16="http://schemas.microsoft.com/office/drawing/2014/main" id="{00000000-0008-0000-2600-000002000000}"/>
            </a:ext>
          </a:extLst>
        </xdr:cNvPr>
        <xdr:cNvSpPr/>
      </xdr:nvSpPr>
      <xdr:spPr>
        <a:xfrm rot="21144321">
          <a:off x="3029355" y="1215964"/>
          <a:ext cx="3656734" cy="937629"/>
        </a:xfrm>
        <a:prstGeom prst="rect">
          <a:avLst/>
        </a:prstGeom>
        <a:noFill/>
      </xdr:spPr>
      <xdr:txBody>
        <a:bodyPr wrap="squar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5400" b="1"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wsDr>
</file>

<file path=xl/drawings/drawing16.xml><?xml version="1.0" encoding="utf-8"?>
<xdr:wsDr xmlns:xdr="http://schemas.openxmlformats.org/drawingml/2006/spreadsheetDrawing" xmlns:a="http://schemas.openxmlformats.org/drawingml/2006/main">
  <xdr:oneCellAnchor>
    <xdr:from>
      <xdr:col>0</xdr:col>
      <xdr:colOff>1616060</xdr:colOff>
      <xdr:row>10</xdr:row>
      <xdr:rowOff>53205</xdr:rowOff>
    </xdr:from>
    <xdr:ext cx="3317448" cy="937629"/>
    <xdr:sp macro="" textlink="">
      <xdr:nvSpPr>
        <xdr:cNvPr id="3" name="2 Rectángulo">
          <a:extLst>
            <a:ext uri="{FF2B5EF4-FFF2-40B4-BE49-F238E27FC236}">
              <a16:creationId xmlns:a16="http://schemas.microsoft.com/office/drawing/2014/main" id="{00000000-0008-0000-2700-000003000000}"/>
            </a:ext>
          </a:extLst>
        </xdr:cNvPr>
        <xdr:cNvSpPr/>
      </xdr:nvSpPr>
      <xdr:spPr>
        <a:xfrm rot="21144321">
          <a:off x="1616060" y="2080125"/>
          <a:ext cx="3317448" cy="937629"/>
        </a:xfrm>
        <a:prstGeom prst="rect">
          <a:avLst/>
        </a:prstGeom>
        <a:noFill/>
      </xdr:spPr>
      <xdr:txBody>
        <a:bodyPr wrap="non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5400" b="1"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wsDr>
</file>

<file path=xl/drawings/drawing17.xml><?xml version="1.0" encoding="utf-8"?>
<xdr:wsDr xmlns:xdr="http://schemas.openxmlformats.org/drawingml/2006/spreadsheetDrawing" xmlns:a="http://schemas.openxmlformats.org/drawingml/2006/main">
  <xdr:oneCellAnchor>
    <xdr:from>
      <xdr:col>1</xdr:col>
      <xdr:colOff>1091168</xdr:colOff>
      <xdr:row>10</xdr:row>
      <xdr:rowOff>5580</xdr:rowOff>
    </xdr:from>
    <xdr:ext cx="3317447" cy="937629"/>
    <xdr:sp macro="" textlink="">
      <xdr:nvSpPr>
        <xdr:cNvPr id="2" name="1 Rectángulo">
          <a:extLst>
            <a:ext uri="{FF2B5EF4-FFF2-40B4-BE49-F238E27FC236}">
              <a16:creationId xmlns:a16="http://schemas.microsoft.com/office/drawing/2014/main" id="{00000000-0008-0000-2800-000002000000}"/>
            </a:ext>
          </a:extLst>
        </xdr:cNvPr>
        <xdr:cNvSpPr/>
      </xdr:nvSpPr>
      <xdr:spPr>
        <a:xfrm rot="21144321">
          <a:off x="2767568" y="1849620"/>
          <a:ext cx="3317447" cy="937629"/>
        </a:xfrm>
        <a:prstGeom prst="rect">
          <a:avLst/>
        </a:prstGeom>
        <a:noFill/>
      </xdr:spPr>
      <xdr:txBody>
        <a:bodyPr wrap="non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5400" b="1"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wsDr>
</file>

<file path=xl/drawings/drawing18.xml><?xml version="1.0" encoding="utf-8"?>
<xdr:wsDr xmlns:xdr="http://schemas.openxmlformats.org/drawingml/2006/spreadsheetDrawing" xmlns:a="http://schemas.openxmlformats.org/drawingml/2006/main">
  <xdr:oneCellAnchor>
    <xdr:from>
      <xdr:col>0</xdr:col>
      <xdr:colOff>3243603</xdr:colOff>
      <xdr:row>13</xdr:row>
      <xdr:rowOff>171346</xdr:rowOff>
    </xdr:from>
    <xdr:ext cx="3317448" cy="937629"/>
    <xdr:sp macro="" textlink="">
      <xdr:nvSpPr>
        <xdr:cNvPr id="2" name="1 Rectángulo">
          <a:extLst>
            <a:ext uri="{FF2B5EF4-FFF2-40B4-BE49-F238E27FC236}">
              <a16:creationId xmlns:a16="http://schemas.microsoft.com/office/drawing/2014/main" id="{00000000-0008-0000-2A00-000002000000}"/>
            </a:ext>
          </a:extLst>
        </xdr:cNvPr>
        <xdr:cNvSpPr/>
      </xdr:nvSpPr>
      <xdr:spPr>
        <a:xfrm rot="21144321">
          <a:off x="3243603" y="3775606"/>
          <a:ext cx="3317448" cy="937629"/>
        </a:xfrm>
        <a:prstGeom prst="rect">
          <a:avLst/>
        </a:prstGeom>
        <a:noFill/>
      </xdr:spPr>
      <xdr:txBody>
        <a:bodyPr wrap="non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5400" b="1"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2</xdr:col>
      <xdr:colOff>123825</xdr:colOff>
      <xdr:row>1</xdr:row>
      <xdr:rowOff>47625</xdr:rowOff>
    </xdr:from>
    <xdr:to>
      <xdr:col>3</xdr:col>
      <xdr:colOff>1430655</xdr:colOff>
      <xdr:row>4</xdr:row>
      <xdr:rowOff>60960</xdr:rowOff>
    </xdr:to>
    <xdr:pic>
      <xdr:nvPicPr>
        <xdr:cNvPr id="2" name="1 Imagen">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0050" y="228600"/>
          <a:ext cx="1459230" cy="4229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1459230</xdr:colOff>
      <xdr:row>3</xdr:row>
      <xdr:rowOff>105410</xdr:rowOff>
    </xdr:to>
    <xdr:pic>
      <xdr:nvPicPr>
        <xdr:cNvPr id="2" name="1 Imagen">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0500"/>
          <a:ext cx="1459230" cy="4229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45720</xdr:colOff>
      <xdr:row>1</xdr:row>
      <xdr:rowOff>83820</xdr:rowOff>
    </xdr:from>
    <xdr:to>
      <xdr:col>2</xdr:col>
      <xdr:colOff>238125</xdr:colOff>
      <xdr:row>4</xdr:row>
      <xdr:rowOff>152400</xdr:rowOff>
    </xdr:to>
    <xdr:pic>
      <xdr:nvPicPr>
        <xdr:cNvPr id="22533" name="1 Imagen">
          <a:extLst>
            <a:ext uri="{FF2B5EF4-FFF2-40B4-BE49-F238E27FC236}">
              <a16:creationId xmlns:a16="http://schemas.microsoft.com/office/drawing/2014/main" id="{00000000-0008-0000-0600-0000055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 y="274320"/>
          <a:ext cx="2186940" cy="640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1424314</xdr:colOff>
      <xdr:row>10</xdr:row>
      <xdr:rowOff>144589</xdr:rowOff>
    </xdr:from>
    <xdr:ext cx="3317447" cy="937629"/>
    <xdr:sp macro="" textlink="">
      <xdr:nvSpPr>
        <xdr:cNvPr id="2" name="1 Rectángulo">
          <a:extLst>
            <a:ext uri="{FF2B5EF4-FFF2-40B4-BE49-F238E27FC236}">
              <a16:creationId xmlns:a16="http://schemas.microsoft.com/office/drawing/2014/main" id="{00000000-0008-0000-0C00-000002000000}"/>
            </a:ext>
          </a:extLst>
        </xdr:cNvPr>
        <xdr:cNvSpPr/>
      </xdr:nvSpPr>
      <xdr:spPr>
        <a:xfrm rot="21144321">
          <a:off x="1424314" y="2001964"/>
          <a:ext cx="3317447" cy="937629"/>
        </a:xfrm>
        <a:prstGeom prst="rect">
          <a:avLst/>
        </a:prstGeom>
        <a:noFill/>
      </xdr:spPr>
      <xdr:txBody>
        <a:bodyPr wrap="none" lIns="91440" tIns="45720" rIns="91440" bIns="45720">
          <a:spAutoFit/>
        </a:bodyPr>
        <a:lstStyle/>
        <a:p>
          <a:pPr algn="ctr"/>
          <a:r>
            <a:rPr lang="es-ES" sz="5400" b="1" cap="none" spc="0">
              <a:ln w="12700">
                <a:solidFill>
                  <a:schemeClr val="tx2">
                    <a:satMod val="155000"/>
                  </a:schemeClr>
                </a:solidFill>
                <a:prstDash val="solid"/>
              </a:ln>
              <a:solidFill>
                <a:sysClr val="windowText" lastClr="000000"/>
              </a:solidFill>
              <a:effectLst>
                <a:outerShdw blurRad="41275" dist="20320" dir="1800000" algn="tl" rotWithShape="0">
                  <a:srgbClr val="000000">
                    <a:alpha val="40000"/>
                  </a:srgbClr>
                </a:outerShdw>
              </a:effectLst>
            </a:rPr>
            <a:t>NO APLICA</a:t>
          </a:r>
        </a:p>
      </xdr:txBody>
    </xdr:sp>
    <xdr:clientData/>
  </xdr:oneCellAnchor>
</xdr:wsDr>
</file>

<file path=xl/drawings/drawing6.xml><?xml version="1.0" encoding="utf-8"?>
<xdr:wsDr xmlns:xdr="http://schemas.openxmlformats.org/drawingml/2006/spreadsheetDrawing" xmlns:a="http://schemas.openxmlformats.org/drawingml/2006/main">
  <xdr:twoCellAnchor editAs="oneCell">
    <xdr:from>
      <xdr:col>0</xdr:col>
      <xdr:colOff>1889760</xdr:colOff>
      <xdr:row>6</xdr:row>
      <xdr:rowOff>121920</xdr:rowOff>
    </xdr:from>
    <xdr:to>
      <xdr:col>4</xdr:col>
      <xdr:colOff>0</xdr:colOff>
      <xdr:row>17</xdr:row>
      <xdr:rowOff>83820</xdr:rowOff>
    </xdr:to>
    <xdr:pic>
      <xdr:nvPicPr>
        <xdr:cNvPr id="24581" name="1 Imagen">
          <a:extLst>
            <a:ext uri="{FF2B5EF4-FFF2-40B4-BE49-F238E27FC236}">
              <a16:creationId xmlns:a16="http://schemas.microsoft.com/office/drawing/2014/main" id="{00000000-0008-0000-0E00-0000056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9760" y="1234440"/>
          <a:ext cx="4351020" cy="2057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1390650</xdr:colOff>
      <xdr:row>5</xdr:row>
      <xdr:rowOff>120015</xdr:rowOff>
    </xdr:from>
    <xdr:to>
      <xdr:col>2</xdr:col>
      <xdr:colOff>582930</xdr:colOff>
      <xdr:row>12</xdr:row>
      <xdr:rowOff>87630</xdr:rowOff>
    </xdr:to>
    <xdr:pic>
      <xdr:nvPicPr>
        <xdr:cNvPr id="25605" name="1 Imagen">
          <a:extLst>
            <a:ext uri="{FF2B5EF4-FFF2-40B4-BE49-F238E27FC236}">
              <a16:creationId xmlns:a16="http://schemas.microsoft.com/office/drawing/2014/main" id="{00000000-0008-0000-1000-0000056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0650" y="1072515"/>
          <a:ext cx="3011805" cy="13011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oneCellAnchor>
    <xdr:from>
      <xdr:col>0</xdr:col>
      <xdr:colOff>2158459</xdr:colOff>
      <xdr:row>8</xdr:row>
      <xdr:rowOff>144253</xdr:rowOff>
    </xdr:from>
    <xdr:ext cx="4248291" cy="768503"/>
    <xdr:sp macro="" textlink="">
      <xdr:nvSpPr>
        <xdr:cNvPr id="2" name="1 Rectángulo">
          <a:extLst>
            <a:ext uri="{FF2B5EF4-FFF2-40B4-BE49-F238E27FC236}">
              <a16:creationId xmlns:a16="http://schemas.microsoft.com/office/drawing/2014/main" id="{00000000-0008-0000-1300-000002000000}"/>
            </a:ext>
          </a:extLst>
        </xdr:cNvPr>
        <xdr:cNvSpPr/>
      </xdr:nvSpPr>
      <xdr:spPr>
        <a:xfrm rot="21144321">
          <a:off x="2158459" y="1649203"/>
          <a:ext cx="4248291" cy="768503"/>
        </a:xfrm>
        <a:prstGeom prst="rect">
          <a:avLst/>
        </a:prstGeom>
        <a:noFill/>
      </xdr:spPr>
      <xdr:txBody>
        <a:bodyPr wrap="square" lIns="91440" tIns="45720" rIns="91440" bIns="45720">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4000" b="1"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0</xdr:colOff>
      <xdr:row>10</xdr:row>
      <xdr:rowOff>28575</xdr:rowOff>
    </xdr:from>
    <xdr:to>
      <xdr:col>7</xdr:col>
      <xdr:colOff>694251</xdr:colOff>
      <xdr:row>14</xdr:row>
      <xdr:rowOff>144778</xdr:rowOff>
    </xdr:to>
    <xdr:sp macro="" textlink="">
      <xdr:nvSpPr>
        <xdr:cNvPr id="3" name="CuadroTexto 2">
          <a:extLst>
            <a:ext uri="{FF2B5EF4-FFF2-40B4-BE49-F238E27FC236}">
              <a16:creationId xmlns:a16="http://schemas.microsoft.com/office/drawing/2014/main" id="{00000000-0008-0000-1900-000003000000}"/>
            </a:ext>
          </a:extLst>
        </xdr:cNvPr>
        <xdr:cNvSpPr txBox="1"/>
      </xdr:nvSpPr>
      <xdr:spPr>
        <a:xfrm>
          <a:off x="0" y="1879146"/>
          <a:ext cx="8196943" cy="8545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b="0" i="0">
              <a:solidFill>
                <a:schemeClr val="dk1"/>
              </a:solidFill>
              <a:effectLst/>
              <a:latin typeface="+mn-lt"/>
              <a:ea typeface="+mn-ea"/>
              <a:cs typeface="+mn-cs"/>
            </a:rPr>
            <a:t>Los bienes de uso serán</a:t>
          </a:r>
          <a:r>
            <a:rPr lang="es-MX" sz="1100" b="0" i="0" baseline="0">
              <a:solidFill>
                <a:schemeClr val="dk1"/>
              </a:solidFill>
              <a:effectLst/>
              <a:latin typeface="+mn-lt"/>
              <a:ea typeface="+mn-ea"/>
              <a:cs typeface="+mn-cs"/>
            </a:rPr>
            <a:t> revaluados</a:t>
          </a:r>
          <a:r>
            <a:rPr lang="es-MX" sz="1100" b="0" i="0">
              <a:solidFill>
                <a:schemeClr val="dk1"/>
              </a:solidFill>
              <a:effectLst/>
              <a:latin typeface="+mn-lt"/>
              <a:ea typeface="+mn-ea"/>
              <a:cs typeface="+mn-cs"/>
            </a:rPr>
            <a:t> </a:t>
          </a:r>
          <a:r>
            <a:rPr lang="es-ES_tradnl" sz="1100">
              <a:solidFill>
                <a:schemeClr val="dk1"/>
              </a:solidFill>
              <a:effectLst/>
              <a:latin typeface="+mn-lt"/>
              <a:ea typeface="+mn-ea"/>
              <a:cs typeface="+mn-cs"/>
            </a:rPr>
            <a:t>cuando la variación del Índice de Precios al Consumo determinado por el Banco Central del Paraguay alcance al menos 20% (veinte por ciento), acumulado desde el ejercicio en el cual se haya dispuesto el último ajuste por revalúo. El</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reconocimiento del revalúo obligatorio establecido por el Poder Ejecutivo formará parte de una reserva patrimonial cuyo único destino podrá ser la capitalización.</a:t>
          </a:r>
          <a:endParaRPr lang="es-PY">
            <a:effectLst/>
          </a:endParaRPr>
        </a:p>
      </xdr:txBody>
    </xdr:sp>
    <xdr:clientData/>
  </xdr:twoCellAnchor>
  <xdr:twoCellAnchor>
    <xdr:from>
      <xdr:col>0</xdr:col>
      <xdr:colOff>55246</xdr:colOff>
      <xdr:row>24</xdr:row>
      <xdr:rowOff>38100</xdr:rowOff>
    </xdr:from>
    <xdr:to>
      <xdr:col>7</xdr:col>
      <xdr:colOff>694248</xdr:colOff>
      <xdr:row>27</xdr:row>
      <xdr:rowOff>0</xdr:rowOff>
    </xdr:to>
    <xdr:sp macro="" textlink="">
      <xdr:nvSpPr>
        <xdr:cNvPr id="4" name="CuadroTexto 3">
          <a:extLst>
            <a:ext uri="{FF2B5EF4-FFF2-40B4-BE49-F238E27FC236}">
              <a16:creationId xmlns:a16="http://schemas.microsoft.com/office/drawing/2014/main" id="{00000000-0008-0000-1900-000004000000}"/>
            </a:ext>
          </a:extLst>
        </xdr:cNvPr>
        <xdr:cNvSpPr txBox="1"/>
      </xdr:nvSpPr>
      <xdr:spPr>
        <a:xfrm>
          <a:off x="47626" y="4479471"/>
          <a:ext cx="8149318" cy="5129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MX" sz="1100" b="0" i="0" u="none" strike="noStrike">
              <a:solidFill>
                <a:schemeClr val="dk1"/>
              </a:solidFill>
              <a:latin typeface="+mn-lt"/>
              <a:ea typeface="+mn-ea"/>
              <a:cs typeface="+mn-cs"/>
            </a:rPr>
            <a:t>Conforme a la Ley Nº 1034/83 del Comerciante, las Sociedades Anónimas deberán</a:t>
          </a:r>
          <a:r>
            <a:rPr lang="es-MX"/>
            <a:t> </a:t>
          </a:r>
          <a:r>
            <a:rPr lang="es-MX" sz="1100" b="0" i="0" u="none" strike="noStrike">
              <a:solidFill>
                <a:schemeClr val="dk1"/>
              </a:solidFill>
              <a:latin typeface="+mn-lt"/>
              <a:ea typeface="+mn-ea"/>
              <a:cs typeface="+mn-cs"/>
            </a:rPr>
            <a:t> destinar como mínimo el 5% de las utilidades netas a la Reserva Legal hasta completar</a:t>
          </a:r>
          <a:r>
            <a:rPr lang="es-MX"/>
            <a:t> </a:t>
          </a:r>
          <a:r>
            <a:rPr lang="es-MX" sz="1100" b="0" i="0" u="none" strike="noStrike">
              <a:solidFill>
                <a:schemeClr val="dk1"/>
              </a:solidFill>
              <a:latin typeface="+mn-lt"/>
              <a:ea typeface="+mn-ea"/>
              <a:cs typeface="+mn-cs"/>
            </a:rPr>
            <a:t> el 20% del capital suscripto. </a:t>
          </a:r>
          <a:r>
            <a:rPr lang="es-MX"/>
            <a:t> </a:t>
          </a:r>
          <a:endParaRPr lang="es-PY" sz="1100"/>
        </a:p>
      </xdr:txBody>
    </xdr:sp>
    <xdr:clientData/>
  </xdr:twoCellAnchor>
  <xdr:twoCellAnchor>
    <xdr:from>
      <xdr:col>0</xdr:col>
      <xdr:colOff>55245</xdr:colOff>
      <xdr:row>28</xdr:row>
      <xdr:rowOff>28575</xdr:rowOff>
    </xdr:from>
    <xdr:to>
      <xdr:col>7</xdr:col>
      <xdr:colOff>660212</xdr:colOff>
      <xdr:row>30</xdr:row>
      <xdr:rowOff>173367</xdr:rowOff>
    </xdr:to>
    <xdr:sp macro="" textlink="">
      <xdr:nvSpPr>
        <xdr:cNvPr id="5" name="CuadroTexto 4">
          <a:extLst>
            <a:ext uri="{FF2B5EF4-FFF2-40B4-BE49-F238E27FC236}">
              <a16:creationId xmlns:a16="http://schemas.microsoft.com/office/drawing/2014/main" id="{00000000-0008-0000-1900-000005000000}"/>
            </a:ext>
          </a:extLst>
        </xdr:cNvPr>
        <xdr:cNvSpPr txBox="1"/>
      </xdr:nvSpPr>
      <xdr:spPr>
        <a:xfrm>
          <a:off x="47625" y="5210175"/>
          <a:ext cx="8105775" cy="51298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PY" sz="1100"/>
        </a:p>
      </xdr:txBody>
    </xdr:sp>
    <xdr:clientData/>
  </xdr:twoCellAnchor>
  <xdr:twoCellAnchor>
    <xdr:from>
      <xdr:col>0</xdr:col>
      <xdr:colOff>55245</xdr:colOff>
      <xdr:row>38</xdr:row>
      <xdr:rowOff>85725</xdr:rowOff>
    </xdr:from>
    <xdr:to>
      <xdr:col>7</xdr:col>
      <xdr:colOff>573127</xdr:colOff>
      <xdr:row>41</xdr:row>
      <xdr:rowOff>38100</xdr:rowOff>
    </xdr:to>
    <xdr:sp macro="" textlink="">
      <xdr:nvSpPr>
        <xdr:cNvPr id="6" name="CuadroTexto 5">
          <a:extLst>
            <a:ext uri="{FF2B5EF4-FFF2-40B4-BE49-F238E27FC236}">
              <a16:creationId xmlns:a16="http://schemas.microsoft.com/office/drawing/2014/main" id="{00000000-0008-0000-1900-000006000000}"/>
            </a:ext>
          </a:extLst>
        </xdr:cNvPr>
        <xdr:cNvSpPr txBox="1"/>
      </xdr:nvSpPr>
      <xdr:spPr>
        <a:xfrm>
          <a:off x="47625" y="6562725"/>
          <a:ext cx="8018689" cy="50754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lang="es-PY">
            <a:effectLst/>
          </a:endParaRPr>
        </a:p>
        <a:p>
          <a:endParaRPr lang="es-PY" sz="1100"/>
        </a:p>
      </xdr:txBody>
    </xdr:sp>
    <xdr:clientData/>
  </xdr:twoCellAnchor>
  <xdr:twoCellAnchor>
    <xdr:from>
      <xdr:col>0</xdr:col>
      <xdr:colOff>0</xdr:colOff>
      <xdr:row>15</xdr:row>
      <xdr:rowOff>0</xdr:rowOff>
    </xdr:from>
    <xdr:to>
      <xdr:col>7</xdr:col>
      <xdr:colOff>692865</xdr:colOff>
      <xdr:row>21</xdr:row>
      <xdr:rowOff>78120</xdr:rowOff>
    </xdr:to>
    <xdr:sp macro="" textlink="">
      <xdr:nvSpPr>
        <xdr:cNvPr id="7" name="CuadroTexto 6">
          <a:extLst>
            <a:ext uri="{FF2B5EF4-FFF2-40B4-BE49-F238E27FC236}">
              <a16:creationId xmlns:a16="http://schemas.microsoft.com/office/drawing/2014/main" id="{00000000-0008-0000-1900-000007000000}"/>
            </a:ext>
          </a:extLst>
        </xdr:cNvPr>
        <xdr:cNvSpPr txBox="1"/>
      </xdr:nvSpPr>
      <xdr:spPr>
        <a:xfrm>
          <a:off x="0" y="2775857"/>
          <a:ext cx="8186057" cy="11789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t>La revaluación del valor de costo de los bienes del activo fijo será identificado, en sus respectivos rubros por separado, bajo la categoría de "Revalúo técnico no deducible" con el objeto de liquidar el Impuesto al momento de su efectiva realización.</a:t>
          </a:r>
        </a:p>
        <a:p>
          <a:pPr marL="0" marR="0" indent="0" defTabSz="914400" eaLnBrk="1" fontAlgn="auto" latinLnBrk="0" hangingPunct="1">
            <a:lnSpc>
              <a:spcPct val="100000"/>
            </a:lnSpc>
            <a:spcBef>
              <a:spcPts val="0"/>
            </a:spcBef>
            <a:spcAft>
              <a:spcPts val="0"/>
            </a:spcAft>
            <a:buClrTx/>
            <a:buSzTx/>
            <a:buFontTx/>
            <a:buNone/>
            <a:tabLst/>
            <a:defRPr/>
          </a:pPr>
          <a:r>
            <a:rPr lang="es-PY" sz="1100"/>
            <a:t>En</a:t>
          </a:r>
          <a:r>
            <a:rPr lang="es-PY" sz="1100" baseline="0"/>
            <a:t> el presente periodo se ha realizado un revalúo técnico del Inmueble con Finca N° 20.782, y Cta. Cte. Ctral. N° 27-3521-03 del Distrito de Luque, de acuerdo a las </a:t>
          </a:r>
          <a:r>
            <a:rPr lang="es-MX" sz="1100" baseline="0">
              <a:solidFill>
                <a:schemeClr val="dk1"/>
              </a:solidFill>
              <a:effectLst/>
              <a:latin typeface="+mn-lt"/>
              <a:ea typeface="+mn-ea"/>
              <a:cs typeface="+mn-cs"/>
            </a:rPr>
            <a:t>Normas del BCP (SB. SG. N° 00288/2002 y la SB. SG. N° 00019/2015 y las Normas Internacionales de Avaluación IVSC (International Valuation Standards Council) El informe presentado ha sido efectuado conforme a los procedimientos periciales pertinentes, correspondiendo el valor de tasación a precio de mercado a la fecha de realización.</a:t>
          </a:r>
          <a:endParaRPr lang="es-PY">
            <a:effectLst/>
          </a:endParaRPr>
        </a:p>
        <a:p>
          <a:endParaRPr lang="es-PY"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arina\Users\hbelotto\Downloads\Sallustro311220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Indice"/>
      <sheetName val="BG"/>
      <sheetName val="ER"/>
      <sheetName val="EVPN"/>
      <sheetName val="EFE"/>
      <sheetName val="Nota1"/>
      <sheetName val="Nota 2"/>
      <sheetName val="Nota 3"/>
      <sheetName val="Nota 4"/>
      <sheetName val="Nota 5"/>
      <sheetName val="Nota 6"/>
      <sheetName val="Nota 7"/>
      <sheetName val="Nota 8"/>
      <sheetName val="Nota 9"/>
      <sheetName val="Nota 10"/>
      <sheetName val="Nota 11"/>
      <sheetName val="Nota 12"/>
      <sheetName val="Nota 13"/>
      <sheetName val="Nota 14"/>
      <sheetName val="Nota 15"/>
      <sheetName val="Nota 16"/>
      <sheetName val="Nota 17"/>
      <sheetName val="Nota 18"/>
      <sheetName val="Nota 19"/>
      <sheetName val="Nota 20"/>
      <sheetName val=" Nota 21"/>
      <sheetName val="Nota 22"/>
      <sheetName val="Nota 23"/>
      <sheetName val="Nota 24"/>
      <sheetName val="Nota 25"/>
      <sheetName val="Nota 26"/>
      <sheetName val="Nota 27"/>
      <sheetName val="Nota 28"/>
      <sheetName val="Nota 29"/>
      <sheetName val="Nota 30"/>
      <sheetName val="Nota 31"/>
      <sheetName val="Nota 32"/>
      <sheetName val="Nota 33"/>
      <sheetName val="Nota 34"/>
      <sheetName val="Nota 35"/>
      <sheetName val="Nota 36"/>
      <sheetName val="Nota 37"/>
      <sheetName val="Nota 38"/>
      <sheetName val="Nota 39"/>
      <sheetName val="Nota 40"/>
      <sheetName val="Base de Monedas"/>
    </sheetNames>
    <sheetDataSet>
      <sheetData sheetId="0" refreshError="1"/>
      <sheetData sheetId="1" refreshError="1">
        <row r="1">
          <cell r="C1" t="str">
            <v>SALLUSTRO Y CIA. S..A</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78"/>
  <sheetViews>
    <sheetView showGridLines="0" topLeftCell="A61" zoomScaleNormal="100" zoomScaleSheetLayoutView="70" workbookViewId="0">
      <selection activeCell="C36" sqref="C36"/>
    </sheetView>
  </sheetViews>
  <sheetFormatPr baseColWidth="10" defaultColWidth="11.42578125" defaultRowHeight="12.75" x14ac:dyDescent="0.2"/>
  <cols>
    <col min="1" max="1" width="21.42578125" style="2" bestFit="1" customWidth="1"/>
    <col min="2" max="2" width="10.140625" style="2" bestFit="1" customWidth="1"/>
    <col min="3" max="3" width="61.5703125" style="2" bestFit="1" customWidth="1"/>
    <col min="4" max="4" width="26" style="77" customWidth="1"/>
    <col min="5" max="16384" width="11.42578125" style="2"/>
  </cols>
  <sheetData>
    <row r="1" spans="1:17" x14ac:dyDescent="0.2">
      <c r="B1" s="346" t="s">
        <v>771</v>
      </c>
      <c r="C1" s="345" t="s">
        <v>1192</v>
      </c>
      <c r="D1" s="2"/>
    </row>
    <row r="2" spans="1:17" x14ac:dyDescent="0.2">
      <c r="P2" s="2">
        <v>1</v>
      </c>
      <c r="Q2" s="2" t="s">
        <v>387</v>
      </c>
    </row>
    <row r="3" spans="1:17" x14ac:dyDescent="0.2">
      <c r="P3" s="2">
        <v>2</v>
      </c>
      <c r="Q3" s="2" t="s">
        <v>388</v>
      </c>
    </row>
    <row r="4" spans="1:17" x14ac:dyDescent="0.2">
      <c r="P4" s="2">
        <v>3</v>
      </c>
      <c r="Q4" s="2" t="s">
        <v>389</v>
      </c>
    </row>
    <row r="5" spans="1:17" x14ac:dyDescent="0.2">
      <c r="P5" s="2">
        <v>4</v>
      </c>
      <c r="Q5" s="2" t="s">
        <v>390</v>
      </c>
    </row>
    <row r="6" spans="1:17" x14ac:dyDescent="0.2">
      <c r="A6" s="346" t="s">
        <v>768</v>
      </c>
      <c r="B6" s="344">
        <v>45657</v>
      </c>
      <c r="P6" s="2">
        <v>5</v>
      </c>
      <c r="Q6" s="2" t="s">
        <v>391</v>
      </c>
    </row>
    <row r="7" spans="1:17" ht="12.75" hidden="1" customHeight="1" x14ac:dyDescent="0.2">
      <c r="A7" s="34"/>
      <c r="B7" s="34"/>
      <c r="C7" s="34"/>
      <c r="D7" s="208"/>
      <c r="P7" s="2">
        <v>6</v>
      </c>
      <c r="Q7" s="2" t="s">
        <v>392</v>
      </c>
    </row>
    <row r="8" spans="1:17" x14ac:dyDescent="0.2">
      <c r="A8" s="244"/>
      <c r="P8" s="2">
        <v>7</v>
      </c>
      <c r="Q8" s="2" t="s">
        <v>393</v>
      </c>
    </row>
    <row r="9" spans="1:17" ht="26.45" customHeight="1" x14ac:dyDescent="0.2">
      <c r="B9" s="245"/>
      <c r="C9" s="246" t="s">
        <v>16</v>
      </c>
      <c r="D9" s="249" t="s">
        <v>324</v>
      </c>
      <c r="P9" s="2">
        <v>8</v>
      </c>
      <c r="Q9" s="2" t="s">
        <v>394</v>
      </c>
    </row>
    <row r="10" spans="1:17" ht="26.45" customHeight="1" x14ac:dyDescent="0.2">
      <c r="B10" s="247" t="s">
        <v>373</v>
      </c>
      <c r="C10" s="230"/>
      <c r="D10" s="250"/>
      <c r="P10" s="2">
        <v>9</v>
      </c>
      <c r="Q10" s="2" t="s">
        <v>395</v>
      </c>
    </row>
    <row r="11" spans="1:17" ht="15" x14ac:dyDescent="0.25">
      <c r="A11" s="77"/>
      <c r="B11" s="82"/>
      <c r="C11" s="2" t="s">
        <v>298</v>
      </c>
      <c r="D11" s="251" t="s">
        <v>17</v>
      </c>
      <c r="P11" s="2">
        <v>10</v>
      </c>
      <c r="Q11" s="2" t="s">
        <v>396</v>
      </c>
    </row>
    <row r="12" spans="1:17" ht="15" x14ac:dyDescent="0.25">
      <c r="A12" s="77"/>
      <c r="B12" s="82"/>
      <c r="C12" s="2" t="s">
        <v>33</v>
      </c>
      <c r="D12" s="252" t="s">
        <v>18</v>
      </c>
      <c r="P12" s="2">
        <v>11</v>
      </c>
      <c r="Q12" s="2" t="s">
        <v>397</v>
      </c>
    </row>
    <row r="13" spans="1:17" ht="15" x14ac:dyDescent="0.25">
      <c r="A13" s="77"/>
      <c r="B13" s="247" t="s">
        <v>235</v>
      </c>
      <c r="D13" s="251" t="s">
        <v>117</v>
      </c>
      <c r="P13" s="2">
        <v>12</v>
      </c>
      <c r="Q13" s="2" t="s">
        <v>398</v>
      </c>
    </row>
    <row r="14" spans="1:17" x14ac:dyDescent="0.2">
      <c r="A14" s="77"/>
      <c r="B14" s="82"/>
      <c r="C14" s="2" t="s">
        <v>178</v>
      </c>
      <c r="D14" s="253" t="s">
        <v>19</v>
      </c>
    </row>
    <row r="15" spans="1:17" x14ac:dyDescent="0.2">
      <c r="A15" s="77"/>
      <c r="B15" s="82"/>
      <c r="C15" s="2" t="s">
        <v>98</v>
      </c>
      <c r="D15" s="253" t="s">
        <v>20</v>
      </c>
    </row>
    <row r="16" spans="1:17" x14ac:dyDescent="0.2">
      <c r="A16" s="77"/>
      <c r="B16" s="82"/>
      <c r="C16" s="2" t="s">
        <v>179</v>
      </c>
      <c r="D16" s="253" t="s">
        <v>21</v>
      </c>
    </row>
    <row r="17" spans="1:4" x14ac:dyDescent="0.2">
      <c r="A17" s="77"/>
      <c r="B17" s="82"/>
      <c r="C17" s="2" t="s">
        <v>34</v>
      </c>
      <c r="D17" s="253" t="s">
        <v>22</v>
      </c>
    </row>
    <row r="18" spans="1:4" ht="15" x14ac:dyDescent="0.25">
      <c r="A18" s="77"/>
      <c r="B18" s="82"/>
      <c r="C18" s="2" t="s">
        <v>179</v>
      </c>
      <c r="D18" s="252" t="s">
        <v>21</v>
      </c>
    </row>
    <row r="19" spans="1:4" x14ac:dyDescent="0.2">
      <c r="A19" s="77"/>
      <c r="B19" s="82"/>
      <c r="C19" s="2" t="s">
        <v>180</v>
      </c>
      <c r="D19" s="253" t="s">
        <v>23</v>
      </c>
    </row>
    <row r="20" spans="1:4" x14ac:dyDescent="0.2">
      <c r="A20" s="77"/>
      <c r="B20" s="82"/>
      <c r="C20" s="2" t="s">
        <v>356</v>
      </c>
      <c r="D20" s="253" t="s">
        <v>24</v>
      </c>
    </row>
    <row r="21" spans="1:4" x14ac:dyDescent="0.2">
      <c r="A21" s="77"/>
      <c r="B21" s="82"/>
      <c r="C21" s="2" t="s">
        <v>299</v>
      </c>
      <c r="D21" s="253" t="s">
        <v>25</v>
      </c>
    </row>
    <row r="22" spans="1:4" x14ac:dyDescent="0.2">
      <c r="A22" s="77"/>
      <c r="B22" s="82"/>
      <c r="C22" s="2" t="s">
        <v>198</v>
      </c>
      <c r="D22" s="253" t="s">
        <v>26</v>
      </c>
    </row>
    <row r="23" spans="1:4" ht="15" x14ac:dyDescent="0.25">
      <c r="A23" s="77"/>
      <c r="B23" s="82"/>
      <c r="C23" s="2" t="s">
        <v>110</v>
      </c>
      <c r="D23" s="252" t="s">
        <v>27</v>
      </c>
    </row>
    <row r="24" spans="1:4" ht="15" x14ac:dyDescent="0.25">
      <c r="A24" s="77"/>
      <c r="B24" s="82"/>
      <c r="C24" s="2" t="s">
        <v>116</v>
      </c>
      <c r="D24" s="251" t="s">
        <v>28</v>
      </c>
    </row>
    <row r="25" spans="1:4" ht="15" x14ac:dyDescent="0.25">
      <c r="A25" s="77"/>
      <c r="B25" s="82"/>
      <c r="C25" s="2" t="s">
        <v>99</v>
      </c>
      <c r="D25" s="252" t="s">
        <v>29</v>
      </c>
    </row>
    <row r="26" spans="1:4" x14ac:dyDescent="0.2">
      <c r="A26" s="77"/>
      <c r="B26" s="82"/>
      <c r="C26" s="2" t="s">
        <v>100</v>
      </c>
      <c r="D26" s="253" t="s">
        <v>30</v>
      </c>
    </row>
    <row r="27" spans="1:4" x14ac:dyDescent="0.2">
      <c r="A27" s="77"/>
      <c r="B27" s="82"/>
      <c r="C27" s="2" t="s">
        <v>118</v>
      </c>
      <c r="D27" s="253" t="s">
        <v>31</v>
      </c>
    </row>
    <row r="28" spans="1:4" x14ac:dyDescent="0.2">
      <c r="A28" s="77"/>
      <c r="B28" s="82"/>
      <c r="C28" s="2" t="s">
        <v>58</v>
      </c>
      <c r="D28" s="253" t="s">
        <v>32</v>
      </c>
    </row>
    <row r="29" spans="1:4" ht="15" x14ac:dyDescent="0.25">
      <c r="A29" s="77"/>
      <c r="B29" s="82"/>
      <c r="C29" s="2" t="s">
        <v>59</v>
      </c>
      <c r="D29" s="252" t="s">
        <v>300</v>
      </c>
    </row>
    <row r="30" spans="1:4" ht="15" x14ac:dyDescent="0.25">
      <c r="A30" s="77"/>
      <c r="B30" s="82"/>
      <c r="C30" s="2" t="s">
        <v>60</v>
      </c>
      <c r="D30" s="252" t="s">
        <v>301</v>
      </c>
    </row>
    <row r="31" spans="1:4" ht="15" x14ac:dyDescent="0.25">
      <c r="A31" s="77"/>
      <c r="B31" s="82"/>
      <c r="C31" s="2" t="s">
        <v>204</v>
      </c>
      <c r="D31" s="252" t="s">
        <v>302</v>
      </c>
    </row>
    <row r="32" spans="1:4" ht="15" x14ac:dyDescent="0.25">
      <c r="A32" s="77"/>
      <c r="B32" s="82"/>
      <c r="C32" s="2" t="s">
        <v>304</v>
      </c>
      <c r="D32" s="252" t="s">
        <v>30</v>
      </c>
    </row>
    <row r="33" spans="1:4" ht="15" x14ac:dyDescent="0.25">
      <c r="A33" s="77"/>
      <c r="B33" s="82"/>
      <c r="C33" s="2" t="s">
        <v>306</v>
      </c>
      <c r="D33" s="252" t="s">
        <v>302</v>
      </c>
    </row>
    <row r="34" spans="1:4" ht="15" x14ac:dyDescent="0.25">
      <c r="A34" s="77"/>
      <c r="B34" s="82"/>
      <c r="C34" s="2" t="s">
        <v>208</v>
      </c>
      <c r="D34" s="252" t="s">
        <v>303</v>
      </c>
    </row>
    <row r="35" spans="1:4" ht="15" x14ac:dyDescent="0.25">
      <c r="A35" s="77"/>
      <c r="B35" s="82"/>
      <c r="C35" s="2" t="s">
        <v>37</v>
      </c>
      <c r="D35" s="252" t="s">
        <v>307</v>
      </c>
    </row>
    <row r="36" spans="1:4" ht="15" x14ac:dyDescent="0.25">
      <c r="A36" s="77"/>
      <c r="B36" s="82"/>
      <c r="C36" s="2" t="s">
        <v>72</v>
      </c>
      <c r="D36" s="252" t="s">
        <v>307</v>
      </c>
    </row>
    <row r="37" spans="1:4" ht="15" x14ac:dyDescent="0.25">
      <c r="A37" s="77"/>
      <c r="B37" s="82"/>
      <c r="C37" s="2" t="s">
        <v>209</v>
      </c>
      <c r="D37" s="252" t="s">
        <v>307</v>
      </c>
    </row>
    <row r="38" spans="1:4" ht="15" x14ac:dyDescent="0.25">
      <c r="A38" s="77"/>
      <c r="B38" s="82"/>
      <c r="C38" s="2" t="s">
        <v>359</v>
      </c>
      <c r="D38" s="252" t="s">
        <v>307</v>
      </c>
    </row>
    <row r="39" spans="1:4" ht="15" x14ac:dyDescent="0.25">
      <c r="A39" s="77"/>
      <c r="B39" s="82"/>
      <c r="C39" s="2" t="s">
        <v>61</v>
      </c>
      <c r="D39" s="252" t="s">
        <v>308</v>
      </c>
    </row>
    <row r="40" spans="1:4" ht="15" x14ac:dyDescent="0.25">
      <c r="A40" s="77"/>
      <c r="B40" s="82"/>
      <c r="C40" s="2" t="s">
        <v>38</v>
      </c>
      <c r="D40" s="252" t="s">
        <v>309</v>
      </c>
    </row>
    <row r="41" spans="1:4" ht="15" x14ac:dyDescent="0.25">
      <c r="A41" s="77"/>
      <c r="B41" s="82"/>
      <c r="C41" s="2" t="s">
        <v>62</v>
      </c>
      <c r="D41" s="252" t="s">
        <v>310</v>
      </c>
    </row>
    <row r="42" spans="1:4" ht="15" x14ac:dyDescent="0.25">
      <c r="A42" s="77"/>
      <c r="B42" s="247" t="s">
        <v>49</v>
      </c>
      <c r="D42" s="251" t="s">
        <v>128</v>
      </c>
    </row>
    <row r="43" spans="1:4" ht="15" x14ac:dyDescent="0.25">
      <c r="A43" s="77"/>
      <c r="B43" s="82"/>
      <c r="C43" s="2" t="s">
        <v>54</v>
      </c>
      <c r="D43" s="252" t="s">
        <v>311</v>
      </c>
    </row>
    <row r="44" spans="1:4" ht="15" x14ac:dyDescent="0.25">
      <c r="A44" s="77"/>
      <c r="B44" s="82"/>
      <c r="C44" s="2" t="s">
        <v>136</v>
      </c>
      <c r="D44" s="252" t="s">
        <v>312</v>
      </c>
    </row>
    <row r="45" spans="1:4" ht="15" x14ac:dyDescent="0.25">
      <c r="A45" s="77"/>
      <c r="B45" s="82"/>
      <c r="C45" s="2" t="s">
        <v>214</v>
      </c>
      <c r="D45" s="252" t="s">
        <v>313</v>
      </c>
    </row>
    <row r="46" spans="1:4" ht="15" x14ac:dyDescent="0.25">
      <c r="A46" s="77"/>
      <c r="B46" s="82"/>
      <c r="C46" s="2" t="s">
        <v>163</v>
      </c>
      <c r="D46" s="252" t="s">
        <v>313</v>
      </c>
    </row>
    <row r="47" spans="1:4" ht="15" x14ac:dyDescent="0.25">
      <c r="A47" s="77"/>
      <c r="B47" s="82"/>
      <c r="C47" s="2" t="s">
        <v>315</v>
      </c>
      <c r="D47" s="252" t="s">
        <v>314</v>
      </c>
    </row>
    <row r="48" spans="1:4" ht="15" x14ac:dyDescent="0.25">
      <c r="A48" s="77"/>
      <c r="B48" s="82"/>
      <c r="C48" s="2" t="s">
        <v>361</v>
      </c>
      <c r="D48" s="252" t="s">
        <v>316</v>
      </c>
    </row>
    <row r="49" spans="1:4" ht="15" x14ac:dyDescent="0.25">
      <c r="A49" s="77"/>
      <c r="B49" s="82"/>
      <c r="C49" s="2" t="s">
        <v>364</v>
      </c>
      <c r="D49" s="252" t="s">
        <v>316</v>
      </c>
    </row>
    <row r="50" spans="1:4" ht="15" x14ac:dyDescent="0.25">
      <c r="A50" s="77"/>
      <c r="B50" s="82"/>
      <c r="C50" s="2" t="s">
        <v>142</v>
      </c>
      <c r="D50" s="252" t="s">
        <v>317</v>
      </c>
    </row>
    <row r="51" spans="1:4" ht="15" x14ac:dyDescent="0.25">
      <c r="A51" s="77"/>
      <c r="B51" s="82"/>
      <c r="C51" s="2" t="s">
        <v>143</v>
      </c>
      <c r="D51" s="252" t="s">
        <v>318</v>
      </c>
    </row>
    <row r="52" spans="1:4" ht="15" x14ac:dyDescent="0.25">
      <c r="A52" s="77"/>
      <c r="B52" s="82"/>
      <c r="C52" s="2" t="s">
        <v>40</v>
      </c>
      <c r="D52" s="252" t="s">
        <v>319</v>
      </c>
    </row>
    <row r="53" spans="1:4" ht="15" x14ac:dyDescent="0.25">
      <c r="A53" s="77"/>
      <c r="B53" s="82"/>
      <c r="C53" s="2" t="s">
        <v>64</v>
      </c>
      <c r="D53" s="252" t="s">
        <v>320</v>
      </c>
    </row>
    <row r="54" spans="1:4" ht="15" x14ac:dyDescent="0.25">
      <c r="A54" s="77"/>
      <c r="B54" s="82"/>
      <c r="C54" s="2" t="s">
        <v>65</v>
      </c>
      <c r="D54" s="252" t="s">
        <v>321</v>
      </c>
    </row>
    <row r="55" spans="1:4" ht="15" x14ac:dyDescent="0.25">
      <c r="A55" s="77"/>
      <c r="B55" s="82"/>
      <c r="C55" s="2" t="s">
        <v>323</v>
      </c>
      <c r="D55" s="252" t="s">
        <v>322</v>
      </c>
    </row>
    <row r="56" spans="1:4" ht="15" x14ac:dyDescent="0.25">
      <c r="A56" s="77"/>
      <c r="B56" s="82"/>
      <c r="C56" s="2" t="s">
        <v>66</v>
      </c>
      <c r="D56" s="251" t="s">
        <v>322</v>
      </c>
    </row>
    <row r="57" spans="1:4" ht="15" x14ac:dyDescent="0.25">
      <c r="A57" s="77"/>
      <c r="B57" s="247" t="s">
        <v>50</v>
      </c>
      <c r="D57" s="251" t="s">
        <v>48</v>
      </c>
    </row>
    <row r="58" spans="1:4" ht="15" x14ac:dyDescent="0.25">
      <c r="A58" s="77"/>
      <c r="B58" s="247" t="s">
        <v>236</v>
      </c>
      <c r="D58" s="252" t="s">
        <v>237</v>
      </c>
    </row>
    <row r="59" spans="1:4" ht="15" x14ac:dyDescent="0.25">
      <c r="A59" s="77"/>
      <c r="B59" s="247" t="s">
        <v>374</v>
      </c>
      <c r="D59" s="252"/>
    </row>
    <row r="60" spans="1:4" ht="15" x14ac:dyDescent="0.25">
      <c r="A60" s="77"/>
      <c r="B60" s="82"/>
      <c r="C60" s="2" t="s">
        <v>327</v>
      </c>
      <c r="D60" s="251" t="s">
        <v>328</v>
      </c>
    </row>
    <row r="61" spans="1:4" ht="15" x14ac:dyDescent="0.25">
      <c r="A61" s="77"/>
      <c r="B61" s="82"/>
      <c r="C61" s="2" t="s">
        <v>332</v>
      </c>
      <c r="D61" s="251" t="s">
        <v>333</v>
      </c>
    </row>
    <row r="62" spans="1:4" ht="15" x14ac:dyDescent="0.25">
      <c r="A62" s="77"/>
      <c r="B62" s="82"/>
      <c r="C62" s="2" t="s">
        <v>365</v>
      </c>
      <c r="D62" s="251" t="s">
        <v>335</v>
      </c>
    </row>
    <row r="63" spans="1:4" ht="15" x14ac:dyDescent="0.25">
      <c r="A63" s="77"/>
      <c r="B63" s="82"/>
      <c r="C63" s="2" t="s">
        <v>334</v>
      </c>
      <c r="D63" s="251" t="s">
        <v>336</v>
      </c>
    </row>
    <row r="64" spans="1:4" ht="15" x14ac:dyDescent="0.2">
      <c r="A64" s="77"/>
      <c r="B64" s="248"/>
      <c r="C64" s="347" t="s">
        <v>822</v>
      </c>
      <c r="D64" s="343" t="s">
        <v>823</v>
      </c>
    </row>
    <row r="65" spans="1:11" ht="21.2" customHeight="1" x14ac:dyDescent="0.2">
      <c r="A65" s="35"/>
      <c r="D65" s="209"/>
    </row>
    <row r="66" spans="1:11" ht="21.2" customHeight="1" x14ac:dyDescent="0.2">
      <c r="A66" s="35"/>
      <c r="D66" s="209"/>
    </row>
    <row r="67" spans="1:11" ht="21.2" customHeight="1" x14ac:dyDescent="0.2">
      <c r="A67" s="35"/>
      <c r="D67" s="209"/>
    </row>
    <row r="69" spans="1:11" s="413" customFormat="1" x14ac:dyDescent="0.2">
      <c r="A69" s="462"/>
      <c r="C69" s="462"/>
      <c r="D69" s="460"/>
      <c r="I69" s="459"/>
      <c r="K69" s="65"/>
    </row>
    <row r="70" spans="1:11" s="413" customFormat="1" x14ac:dyDescent="0.2">
      <c r="A70" s="461"/>
      <c r="C70" s="462"/>
      <c r="D70" s="458"/>
      <c r="I70" s="459"/>
      <c r="K70" s="65"/>
    </row>
    <row r="71" spans="1:11" s="412" customFormat="1" x14ac:dyDescent="0.2"/>
    <row r="72" spans="1:11" s="412" customFormat="1" x14ac:dyDescent="0.2"/>
    <row r="73" spans="1:11" s="412" customFormat="1" x14ac:dyDescent="0.2"/>
    <row r="74" spans="1:11" s="412" customFormat="1" x14ac:dyDescent="0.2"/>
    <row r="75" spans="1:11" s="412" customFormat="1" x14ac:dyDescent="0.2">
      <c r="C75" s="461"/>
    </row>
    <row r="76" spans="1:11" s="412" customFormat="1" x14ac:dyDescent="0.2">
      <c r="C76" s="461"/>
    </row>
    <row r="77" spans="1:11" s="412" customFormat="1" x14ac:dyDescent="0.2">
      <c r="C77" s="461"/>
    </row>
    <row r="78" spans="1:11" s="412" customFormat="1" x14ac:dyDescent="0.2"/>
  </sheetData>
  <hyperlinks>
    <hyperlink ref="D14" location="'Nota 3'!A1" display="'Nota 3'!A1" xr:uid="{00000000-0004-0000-0000-000000000000}"/>
    <hyperlink ref="D15" location="'Nota 4'!A1" display="'Nota 4'!A1" xr:uid="{00000000-0004-0000-0000-000001000000}"/>
    <hyperlink ref="D16" location="'Nota 5'!A1" display="'Nota 5'!A1" xr:uid="{00000000-0004-0000-0000-000002000000}"/>
    <hyperlink ref="D17" location="'Nota 6'!A1" display="'Nota 6'!A1" xr:uid="{00000000-0004-0000-0000-000003000000}"/>
    <hyperlink ref="D19" location="'Nota 7'!A1" display="'Nota 7'!A1" xr:uid="{00000000-0004-0000-0000-000004000000}"/>
    <hyperlink ref="D21" location="'Nota 9'!A1" display="'Nota 9'!A1" xr:uid="{00000000-0004-0000-0000-000005000000}"/>
    <hyperlink ref="D22" location="'Nota 10'!A1" display="'Nota 10'!A1" xr:uid="{00000000-0004-0000-0000-000006000000}"/>
    <hyperlink ref="D26" location="'Nota 14'!A1" display="'Nota 14'!A1" xr:uid="{00000000-0004-0000-0000-000007000000}"/>
    <hyperlink ref="D27" location="'Nota 15'!A1" display="'Nota 15'!A1" xr:uid="{00000000-0004-0000-0000-000008000000}"/>
    <hyperlink ref="D28" location="'Nota 16'!A1" display="'Nota 16'!A1" xr:uid="{00000000-0004-0000-0000-000009000000}"/>
    <hyperlink ref="D20" location="'Nota 8'!A1" display="'Nota 8'!A1" xr:uid="{00000000-0004-0000-0000-00000A000000}"/>
    <hyperlink ref="D13" location="BG!A1" display="BG" xr:uid="{00000000-0004-0000-0000-00000B000000}"/>
    <hyperlink ref="D42" location="ER!A1" display="ER" xr:uid="{00000000-0004-0000-0000-00000C000000}"/>
    <hyperlink ref="D57" location="EVPN!A1" display="EVPN" xr:uid="{00000000-0004-0000-0000-00000D000000}"/>
    <hyperlink ref="D58" location="EFE!A1" display="EFE" xr:uid="{00000000-0004-0000-0000-00000E000000}"/>
    <hyperlink ref="D23" location="'Nota 11'!A1" display="Nota 11 y 12" xr:uid="{00000000-0004-0000-0000-00000F000000}"/>
    <hyperlink ref="D24" location="'Nota 12'!A1" display="Nota 12" xr:uid="{00000000-0004-0000-0000-000010000000}"/>
    <hyperlink ref="D25" location="'Nota 13'!A1" display="Nota 13'" xr:uid="{00000000-0004-0000-0000-000011000000}"/>
    <hyperlink ref="D29" location="'Nota 17'!A1" display="Nota 17" xr:uid="{00000000-0004-0000-0000-000012000000}"/>
    <hyperlink ref="D30" location="'Nota 18'!A1" display="Nota 18" xr:uid="{00000000-0004-0000-0000-000013000000}"/>
    <hyperlink ref="D31" location="'Nota 19'!A1" display="Nota 19" xr:uid="{00000000-0004-0000-0000-000014000000}"/>
    <hyperlink ref="D32" location="'Nota 14'!A1" display="Nota 14" xr:uid="{00000000-0004-0000-0000-000015000000}"/>
    <hyperlink ref="D33" location="'Nota 19'!A1" display="Nota 19" xr:uid="{00000000-0004-0000-0000-000016000000}"/>
    <hyperlink ref="D34" location="'Nota 20'!A1" display="Nota 20" xr:uid="{00000000-0004-0000-0000-000017000000}"/>
    <hyperlink ref="D35" location="' Nota 21'!A1" display="Nota 21" xr:uid="{00000000-0004-0000-0000-000018000000}"/>
    <hyperlink ref="D36" location="' Nota 21'!A1" display="Nota 21" xr:uid="{00000000-0004-0000-0000-000019000000}"/>
    <hyperlink ref="D37" location="' Nota 21'!A1" display="Nota 21" xr:uid="{00000000-0004-0000-0000-00001A000000}"/>
    <hyperlink ref="D38" location="' Nota 21'!A1" display="Nota 21" xr:uid="{00000000-0004-0000-0000-00001B000000}"/>
    <hyperlink ref="D39" location="'Nota 22'!A1" display="Nota 22" xr:uid="{00000000-0004-0000-0000-00001C000000}"/>
    <hyperlink ref="D40" location="'Nota 23'!A1" display="Nota 23" xr:uid="{00000000-0004-0000-0000-00001D000000}"/>
    <hyperlink ref="D41" location="'Nota 24'!A1" display="Nota 24" xr:uid="{00000000-0004-0000-0000-00001E000000}"/>
    <hyperlink ref="D43" location="'Nota 25'!A1" display="Nota 25" xr:uid="{00000000-0004-0000-0000-00001F000000}"/>
    <hyperlink ref="D44" location="'Nota 26'!A1" display="Nota 26" xr:uid="{00000000-0004-0000-0000-000020000000}"/>
    <hyperlink ref="D45" location="'Nota 27'!A1" display="Nota 27" xr:uid="{00000000-0004-0000-0000-000021000000}"/>
    <hyperlink ref="D46" location="'Nota 27'!A1" display="N ota 27" xr:uid="{00000000-0004-0000-0000-000022000000}"/>
    <hyperlink ref="D47" location="'Nota 28'!A1" display="Nota 28" xr:uid="{00000000-0004-0000-0000-000023000000}"/>
    <hyperlink ref="D48" location="'Nota 29'!A1" display="Nota 29" xr:uid="{00000000-0004-0000-0000-000024000000}"/>
    <hyperlink ref="D49" location="'Nota 29'!A1" display="Nota 29" xr:uid="{00000000-0004-0000-0000-000025000000}"/>
    <hyperlink ref="D50" location="'Nota 30'!A1" display="Nota 30" xr:uid="{00000000-0004-0000-0000-000026000000}"/>
    <hyperlink ref="D51" location="'Nota 31'!A1" display="Nota 31" xr:uid="{00000000-0004-0000-0000-000027000000}"/>
    <hyperlink ref="D52" location="'Nota 32'!A1" display="Nota 32" xr:uid="{00000000-0004-0000-0000-000028000000}"/>
    <hyperlink ref="D53" location="'Nota 33'!A1" display="Nota 33" xr:uid="{00000000-0004-0000-0000-000029000000}"/>
    <hyperlink ref="D54" location="'Nota 34'!A1" display="Nota 34" xr:uid="{00000000-0004-0000-0000-00002A000000}"/>
    <hyperlink ref="D55" location="'Nota 35'!A1" display="Nota 35" xr:uid="{00000000-0004-0000-0000-00002B000000}"/>
    <hyperlink ref="D56" location="'Nota 35'!A1" display="Nota 35" xr:uid="{00000000-0004-0000-0000-00002C000000}"/>
    <hyperlink ref="D61" location="'Nota 37'!A1" display="Nota 37" xr:uid="{00000000-0004-0000-0000-00002D000000}"/>
    <hyperlink ref="D60" location="'Nota 36'!A1" display="Nota 36" xr:uid="{00000000-0004-0000-0000-00002E000000}"/>
    <hyperlink ref="D12" location="'Nota 2'!A1" display="Nota 2" xr:uid="{00000000-0004-0000-0000-00002F000000}"/>
    <hyperlink ref="D11" location="Nota1!A1" display="Nota 1" xr:uid="{00000000-0004-0000-0000-000030000000}"/>
    <hyperlink ref="D18" location="'Nota 5'!A1" display="Nota 5" xr:uid="{00000000-0004-0000-0000-000031000000}"/>
    <hyperlink ref="D64" location="'Nota 40'!A1" display="Nota 40" xr:uid="{00000000-0004-0000-0000-000032000000}"/>
    <hyperlink ref="D63" location="'Nota 39'!A1" display="Nota 39" xr:uid="{00000000-0004-0000-0000-000033000000}"/>
    <hyperlink ref="D62" location="'Nota 38'!A1" display="Nota 38" xr:uid="{00000000-0004-0000-0000-000034000000}"/>
  </hyperlinks>
  <printOptions horizontalCentered="1"/>
  <pageMargins left="0.70866141732283472" right="0.70866141732283472" top="0.74803149606299213" bottom="0.74803149606299213" header="0.31496062992125984" footer="0.31496062992125984"/>
  <pageSetup paperSize="9" scale="6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0">
    <tabColor rgb="FFFFFF00"/>
    <pageSetUpPr fitToPage="1"/>
  </sheetPr>
  <dimension ref="A1:H69"/>
  <sheetViews>
    <sheetView showGridLines="0" topLeftCell="B46" zoomScale="90" zoomScaleNormal="90" zoomScaleSheetLayoutView="90" workbookViewId="0">
      <selection activeCell="A50" sqref="A50:C71"/>
    </sheetView>
  </sheetViews>
  <sheetFormatPr baseColWidth="10" defaultColWidth="11.42578125" defaultRowHeight="12.75" x14ac:dyDescent="0.2"/>
  <cols>
    <col min="1" max="1" width="50" style="10" customWidth="1"/>
    <col min="2" max="2" width="27.7109375" style="10" customWidth="1"/>
    <col min="3" max="3" width="25.42578125" style="10" customWidth="1"/>
    <col min="4" max="4" width="19.5703125" style="10" customWidth="1"/>
    <col min="5" max="5" width="4.85546875" style="10" customWidth="1"/>
    <col min="6" max="6" width="61.5703125" style="10" customWidth="1"/>
    <col min="7" max="7" width="17.42578125" style="10" bestFit="1" customWidth="1"/>
    <col min="8" max="8" width="27.85546875" style="10" bestFit="1" customWidth="1"/>
    <col min="9" max="9" width="14.7109375" style="10" bestFit="1" customWidth="1"/>
    <col min="10" max="16384" width="11.42578125" style="10"/>
  </cols>
  <sheetData>
    <row r="1" spans="1:7" ht="15" x14ac:dyDescent="0.25">
      <c r="A1" s="12" t="str">
        <f>Indice!C1</f>
        <v>SALLUSTRO Y CIA. S.A.</v>
      </c>
      <c r="F1" s="126" t="s">
        <v>117</v>
      </c>
    </row>
    <row r="2" spans="1:7" ht="15" x14ac:dyDescent="0.25">
      <c r="A2" s="190" t="s">
        <v>91</v>
      </c>
      <c r="B2" s="190"/>
      <c r="F2" s="126"/>
    </row>
    <row r="3" spans="1:7" ht="63.75" customHeight="1" x14ac:dyDescent="0.25">
      <c r="A3" s="655" t="s">
        <v>812</v>
      </c>
      <c r="B3" s="655"/>
      <c r="F3" s="126"/>
    </row>
    <row r="4" spans="1:7" x14ac:dyDescent="0.2">
      <c r="C4" s="96"/>
    </row>
    <row r="5" spans="1:7" x14ac:dyDescent="0.2">
      <c r="A5" s="239" t="s">
        <v>241</v>
      </c>
      <c r="B5" s="239"/>
      <c r="C5" s="195"/>
      <c r="D5" s="195"/>
      <c r="E5" s="195"/>
    </row>
    <row r="6" spans="1:7" x14ac:dyDescent="0.2">
      <c r="A6" s="2" t="s">
        <v>810</v>
      </c>
      <c r="B6" s="2"/>
      <c r="E6" s="96"/>
    </row>
    <row r="7" spans="1:7" x14ac:dyDescent="0.2">
      <c r="A7" s="102"/>
      <c r="B7" s="102"/>
      <c r="C7" s="653" t="s">
        <v>197</v>
      </c>
      <c r="D7" s="654"/>
      <c r="E7" s="96"/>
    </row>
    <row r="8" spans="1:7" x14ac:dyDescent="0.2">
      <c r="C8" s="301">
        <f>IFERROR(IF(Indice!B6="","2XX2",YEAR(Indice!B6)),"2XX2")</f>
        <v>2024</v>
      </c>
      <c r="D8" s="301">
        <f>IFERROR(YEAR(Indice!B6-366),"2XX1")</f>
        <v>2023</v>
      </c>
      <c r="E8" s="96"/>
    </row>
    <row r="9" spans="1:7" x14ac:dyDescent="0.2">
      <c r="A9" s="191" t="s">
        <v>246</v>
      </c>
      <c r="B9" s="191" t="s">
        <v>382</v>
      </c>
      <c r="C9" s="354">
        <v>2558139277.5300002</v>
      </c>
      <c r="D9" s="354">
        <v>1327820529.6600001</v>
      </c>
      <c r="E9" s="96"/>
    </row>
    <row r="10" spans="1:7" x14ac:dyDescent="0.2">
      <c r="A10" s="191" t="s">
        <v>246</v>
      </c>
      <c r="B10" s="191" t="s">
        <v>383</v>
      </c>
      <c r="C10" s="486">
        <v>14603567370.639999</v>
      </c>
      <c r="D10" s="486">
        <v>15662792377.48</v>
      </c>
      <c r="E10" s="96"/>
    </row>
    <row r="11" spans="1:7" x14ac:dyDescent="0.2">
      <c r="A11" s="191" t="s">
        <v>850</v>
      </c>
      <c r="B11" s="191" t="s">
        <v>382</v>
      </c>
      <c r="C11" s="354"/>
      <c r="D11" s="354"/>
      <c r="E11" s="96"/>
    </row>
    <row r="12" spans="1:7" x14ac:dyDescent="0.2">
      <c r="A12" s="191" t="s">
        <v>1007</v>
      </c>
      <c r="B12" s="191" t="s">
        <v>383</v>
      </c>
      <c r="C12" s="486">
        <v>205316781.81</v>
      </c>
      <c r="D12" s="486"/>
      <c r="E12" s="96"/>
    </row>
    <row r="13" spans="1:7" x14ac:dyDescent="0.2">
      <c r="A13" s="191" t="s">
        <v>972</v>
      </c>
      <c r="B13" s="191" t="s">
        <v>382</v>
      </c>
      <c r="C13" s="354">
        <v>3188649318</v>
      </c>
      <c r="D13" s="354">
        <v>4578710329</v>
      </c>
      <c r="E13" s="96"/>
    </row>
    <row r="14" spans="1:7" x14ac:dyDescent="0.2">
      <c r="A14" s="191" t="s">
        <v>972</v>
      </c>
      <c r="B14" s="191" t="s">
        <v>383</v>
      </c>
      <c r="C14" s="486">
        <v>4491270198.9799995</v>
      </c>
      <c r="D14" s="486">
        <v>4786611673.8699999</v>
      </c>
      <c r="E14" s="96"/>
    </row>
    <row r="15" spans="1:7" x14ac:dyDescent="0.2">
      <c r="A15" s="191" t="s">
        <v>851</v>
      </c>
      <c r="B15" s="191" t="s">
        <v>382</v>
      </c>
      <c r="C15" s="354">
        <f>221055230+1927934+467600</f>
        <v>223450764</v>
      </c>
      <c r="D15" s="354">
        <v>236841308.88</v>
      </c>
      <c r="E15" s="96"/>
      <c r="G15" s="375"/>
    </row>
    <row r="16" spans="1:7" x14ac:dyDescent="0.2">
      <c r="A16" s="191" t="s">
        <v>852</v>
      </c>
      <c r="B16" s="191" t="s">
        <v>382</v>
      </c>
      <c r="C16" s="354">
        <v>9277731969.1800003</v>
      </c>
      <c r="D16" s="354">
        <v>8781409220.6500015</v>
      </c>
      <c r="E16" s="96"/>
      <c r="F16" s="375"/>
      <c r="G16" s="375"/>
    </row>
    <row r="17" spans="1:8" x14ac:dyDescent="0.2">
      <c r="A17" s="191" t="s">
        <v>1229</v>
      </c>
      <c r="B17" s="191" t="s">
        <v>382</v>
      </c>
      <c r="C17" s="354">
        <v>50000000</v>
      </c>
      <c r="D17" s="354">
        <v>0</v>
      </c>
      <c r="E17" s="96"/>
      <c r="F17" s="375"/>
      <c r="G17" s="385"/>
      <c r="H17" s="384"/>
    </row>
    <row r="18" spans="1:8" x14ac:dyDescent="0.2">
      <c r="A18" s="191" t="s">
        <v>853</v>
      </c>
      <c r="B18" s="191" t="s">
        <v>382</v>
      </c>
      <c r="C18" s="354">
        <v>524813499.92000002</v>
      </c>
      <c r="D18" s="354">
        <v>524682899.92000002</v>
      </c>
      <c r="E18" s="96"/>
      <c r="F18" s="375"/>
      <c r="G18" s="385"/>
      <c r="H18" s="384"/>
    </row>
    <row r="19" spans="1:8" x14ac:dyDescent="0.2">
      <c r="A19" s="191" t="s">
        <v>1118</v>
      </c>
      <c r="B19" s="191" t="s">
        <v>382</v>
      </c>
      <c r="C19" s="354">
        <f>2751545396-13470053+36436607</f>
        <v>2774511950</v>
      </c>
      <c r="D19" s="354">
        <v>821919879</v>
      </c>
      <c r="E19" s="96"/>
      <c r="G19" s="385"/>
      <c r="H19" s="384"/>
    </row>
    <row r="20" spans="1:8" x14ac:dyDescent="0.2">
      <c r="A20" s="191" t="s">
        <v>1119</v>
      </c>
      <c r="B20" s="191" t="s">
        <v>382</v>
      </c>
      <c r="C20" s="354">
        <v>0</v>
      </c>
      <c r="D20" s="354">
        <v>0</v>
      </c>
      <c r="E20" s="96"/>
      <c r="F20" s="375"/>
      <c r="G20" s="385"/>
    </row>
    <row r="21" spans="1:8" x14ac:dyDescent="0.2">
      <c r="A21" s="191" t="s">
        <v>1117</v>
      </c>
      <c r="B21" s="191" t="s">
        <v>382</v>
      </c>
      <c r="C21" s="354">
        <v>0</v>
      </c>
      <c r="D21" s="354">
        <v>146362047.63999999</v>
      </c>
      <c r="E21" s="96"/>
      <c r="F21" s="375"/>
      <c r="G21" s="385"/>
    </row>
    <row r="22" spans="1:8" x14ac:dyDescent="0.2">
      <c r="A22" s="191" t="s">
        <v>1120</v>
      </c>
      <c r="B22" s="191" t="s">
        <v>383</v>
      </c>
      <c r="C22" s="486">
        <v>2280075076.0599999</v>
      </c>
      <c r="D22" s="486">
        <v>158128862.75</v>
      </c>
      <c r="E22" s="96"/>
      <c r="G22" s="385"/>
      <c r="H22" s="384"/>
    </row>
    <row r="23" spans="1:8" x14ac:dyDescent="0.2">
      <c r="A23" s="191" t="s">
        <v>1122</v>
      </c>
      <c r="B23" s="191" t="s">
        <v>383</v>
      </c>
      <c r="C23" s="486">
        <v>0</v>
      </c>
      <c r="D23" s="486">
        <v>0</v>
      </c>
      <c r="E23" s="96"/>
      <c r="F23" s="375"/>
      <c r="G23" s="385"/>
    </row>
    <row r="24" spans="1:8" x14ac:dyDescent="0.2">
      <c r="A24" s="191" t="s">
        <v>1121</v>
      </c>
      <c r="B24" s="191" t="s">
        <v>383</v>
      </c>
      <c r="C24" s="486">
        <v>0</v>
      </c>
      <c r="D24" s="486">
        <v>0</v>
      </c>
      <c r="E24" s="96"/>
      <c r="F24" s="375"/>
      <c r="G24" s="385"/>
    </row>
    <row r="25" spans="1:8" ht="15" customHeight="1" x14ac:dyDescent="0.2">
      <c r="A25" s="191" t="s">
        <v>1057</v>
      </c>
      <c r="B25" s="191" t="s">
        <v>382</v>
      </c>
      <c r="C25" s="354">
        <v>1253854</v>
      </c>
      <c r="D25" s="354">
        <v>1253854</v>
      </c>
      <c r="E25" s="96"/>
    </row>
    <row r="26" spans="1:8" x14ac:dyDescent="0.2">
      <c r="A26" s="191" t="s">
        <v>384</v>
      </c>
      <c r="B26" s="191"/>
      <c r="C26" s="354">
        <v>0</v>
      </c>
      <c r="D26" s="354">
        <v>0</v>
      </c>
      <c r="E26" s="96"/>
      <c r="F26" s="375"/>
      <c r="G26" s="375"/>
    </row>
    <row r="27" spans="1:8" x14ac:dyDescent="0.2">
      <c r="A27" s="191" t="s">
        <v>2</v>
      </c>
      <c r="B27" s="191"/>
      <c r="C27" s="376">
        <f>+SUM($C$9:C26)</f>
        <v>40178780060.119995</v>
      </c>
      <c r="D27" s="376">
        <f>+SUM($D$9:D26)</f>
        <v>37026532982.849998</v>
      </c>
      <c r="E27" s="96"/>
      <c r="F27" s="375"/>
      <c r="G27" s="384"/>
    </row>
    <row r="28" spans="1:8" x14ac:dyDescent="0.2">
      <c r="A28" s="102"/>
      <c r="B28" s="102"/>
      <c r="D28" s="375"/>
      <c r="E28" s="96"/>
      <c r="F28" s="555"/>
    </row>
    <row r="29" spans="1:8" x14ac:dyDescent="0.2">
      <c r="A29" s="2" t="s">
        <v>811</v>
      </c>
      <c r="B29" s="2"/>
      <c r="E29" s="96"/>
      <c r="F29" s="375"/>
    </row>
    <row r="30" spans="1:8" x14ac:dyDescent="0.2">
      <c r="A30" s="102"/>
      <c r="B30" s="102"/>
      <c r="C30" s="653" t="s">
        <v>197</v>
      </c>
      <c r="D30" s="654"/>
      <c r="E30" s="96"/>
      <c r="F30" s="375"/>
    </row>
    <row r="31" spans="1:8" x14ac:dyDescent="0.2">
      <c r="C31" s="301">
        <f>IFERROR(IF(Indice!B6="","2XX2",YEAR(Indice!B6)),"2XX2")</f>
        <v>2024</v>
      </c>
      <c r="D31" s="301">
        <f>IFERROR(YEAR(Indice!B6-366),"2XX1")</f>
        <v>2023</v>
      </c>
      <c r="E31" s="96"/>
    </row>
    <row r="32" spans="1:8" x14ac:dyDescent="0.2">
      <c r="A32" s="191" t="s">
        <v>246</v>
      </c>
      <c r="B32" s="191" t="s">
        <v>382</v>
      </c>
      <c r="C32" s="354">
        <v>13194784741</v>
      </c>
      <c r="D32" s="354">
        <v>13194784741</v>
      </c>
    </row>
    <row r="33" spans="1:4" x14ac:dyDescent="0.2">
      <c r="A33" s="191" t="s">
        <v>245</v>
      </c>
      <c r="B33" s="191" t="s">
        <v>382</v>
      </c>
      <c r="C33" s="418">
        <v>469136641</v>
      </c>
      <c r="D33" s="418">
        <v>734617916</v>
      </c>
    </row>
    <row r="34" spans="1:4" x14ac:dyDescent="0.2">
      <c r="A34" s="191" t="s">
        <v>245</v>
      </c>
      <c r="B34" s="191" t="s">
        <v>383</v>
      </c>
      <c r="C34" s="487">
        <v>0</v>
      </c>
      <c r="D34" s="487">
        <v>0</v>
      </c>
    </row>
    <row r="35" spans="1:4" x14ac:dyDescent="0.2">
      <c r="A35" s="191" t="s">
        <v>244</v>
      </c>
      <c r="B35" s="191" t="s">
        <v>382</v>
      </c>
      <c r="C35" s="418">
        <v>0</v>
      </c>
      <c r="D35" s="418">
        <v>68992397</v>
      </c>
    </row>
    <row r="36" spans="1:4" x14ac:dyDescent="0.2">
      <c r="A36" s="191" t="s">
        <v>244</v>
      </c>
      <c r="B36" s="191" t="s">
        <v>383</v>
      </c>
      <c r="C36" s="487">
        <v>290380.21999999997</v>
      </c>
      <c r="D36" s="487">
        <v>5119450.87</v>
      </c>
    </row>
    <row r="37" spans="1:4" x14ac:dyDescent="0.2">
      <c r="A37" s="191" t="s">
        <v>951</v>
      </c>
      <c r="B37" s="191" t="s">
        <v>382</v>
      </c>
      <c r="C37" s="418">
        <v>0</v>
      </c>
      <c r="D37" s="418">
        <v>0</v>
      </c>
    </row>
    <row r="38" spans="1:4" x14ac:dyDescent="0.2">
      <c r="A38" s="191" t="s">
        <v>953</v>
      </c>
      <c r="B38" s="191" t="s">
        <v>382</v>
      </c>
      <c r="C38" s="418">
        <v>350678307</v>
      </c>
      <c r="D38" s="418">
        <v>359582307</v>
      </c>
    </row>
    <row r="39" spans="1:4" x14ac:dyDescent="0.2">
      <c r="A39" s="191" t="s">
        <v>1008</v>
      </c>
      <c r="B39" s="191" t="s">
        <v>382</v>
      </c>
      <c r="C39" s="418">
        <v>58005733.5</v>
      </c>
      <c r="D39" s="418">
        <v>53932155.75</v>
      </c>
    </row>
    <row r="40" spans="1:4" x14ac:dyDescent="0.2">
      <c r="A40" s="191" t="s">
        <v>952</v>
      </c>
      <c r="B40" s="191" t="s">
        <v>383</v>
      </c>
      <c r="C40" s="487">
        <v>0</v>
      </c>
      <c r="D40" s="487">
        <v>0</v>
      </c>
    </row>
    <row r="41" spans="1:4" x14ac:dyDescent="0.2">
      <c r="A41" s="191" t="s">
        <v>1236</v>
      </c>
      <c r="B41" s="191" t="s">
        <v>383</v>
      </c>
      <c r="C41" s="487">
        <v>468733200</v>
      </c>
      <c r="D41" s="487">
        <v>0</v>
      </c>
    </row>
    <row r="42" spans="1:4" x14ac:dyDescent="0.2">
      <c r="A42" s="191" t="s">
        <v>1118</v>
      </c>
      <c r="B42" s="191" t="s">
        <v>382</v>
      </c>
      <c r="C42" s="418">
        <v>16732184</v>
      </c>
      <c r="D42" s="418">
        <v>3912990845</v>
      </c>
    </row>
    <row r="43" spans="1:4" x14ac:dyDescent="0.2">
      <c r="A43" s="191" t="s">
        <v>1119</v>
      </c>
      <c r="B43" s="191" t="s">
        <v>382</v>
      </c>
      <c r="C43" s="418">
        <v>-1144773.18</v>
      </c>
      <c r="D43" s="418">
        <v>-233567416.69</v>
      </c>
    </row>
    <row r="44" spans="1:4" x14ac:dyDescent="0.2">
      <c r="A44" s="191" t="s">
        <v>1117</v>
      </c>
      <c r="B44" s="191" t="s">
        <v>382</v>
      </c>
      <c r="C44" s="418">
        <v>0</v>
      </c>
      <c r="D44" s="418">
        <v>169884503</v>
      </c>
    </row>
    <row r="45" spans="1:4" x14ac:dyDescent="0.2">
      <c r="A45" s="191" t="s">
        <v>1120</v>
      </c>
      <c r="B45" s="191" t="s">
        <v>383</v>
      </c>
      <c r="C45" s="487">
        <v>0</v>
      </c>
      <c r="D45" s="487">
        <v>1974534305.5999999</v>
      </c>
    </row>
    <row r="46" spans="1:4" x14ac:dyDescent="0.2">
      <c r="A46" s="191" t="s">
        <v>2</v>
      </c>
      <c r="B46" s="191"/>
      <c r="C46" s="376">
        <f>+SUM($C$32:C45)</f>
        <v>14557216413.539999</v>
      </c>
      <c r="D46" s="376">
        <f>+SUM(D32:D45)</f>
        <v>20240871204.530003</v>
      </c>
    </row>
    <row r="47" spans="1:4" x14ac:dyDescent="0.2">
      <c r="B47" s="190"/>
      <c r="C47" s="419"/>
      <c r="D47" s="190"/>
    </row>
    <row r="48" spans="1:4" x14ac:dyDescent="0.2">
      <c r="A48" s="190"/>
      <c r="B48" s="190"/>
      <c r="C48" s="190"/>
      <c r="D48" s="190"/>
    </row>
    <row r="49" spans="1:5" x14ac:dyDescent="0.2">
      <c r="A49" s="190"/>
      <c r="B49" s="190"/>
      <c r="C49" s="190"/>
      <c r="D49" s="419"/>
      <c r="E49" s="190"/>
    </row>
    <row r="50" spans="1:5" x14ac:dyDescent="0.2">
      <c r="A50" s="292" t="s">
        <v>802</v>
      </c>
      <c r="B50" s="444">
        <f>IFERROR(IF(Indice!B6="","2XX2",YEAR(Indice!B6)),"2XX2")</f>
        <v>2024</v>
      </c>
      <c r="C50" s="300"/>
      <c r="E50" s="190"/>
    </row>
    <row r="51" spans="1:5" ht="25.5" x14ac:dyDescent="0.2">
      <c r="A51" s="291" t="s">
        <v>242</v>
      </c>
      <c r="B51" s="92" t="s">
        <v>805</v>
      </c>
      <c r="C51" s="92" t="s">
        <v>809</v>
      </c>
      <c r="E51" s="190"/>
    </row>
    <row r="52" spans="1:5" x14ac:dyDescent="0.2">
      <c r="A52" s="9" t="s">
        <v>5</v>
      </c>
      <c r="B52" s="294">
        <f>30907335315.84+C15+C16+C17+C18+C19+C22+C25+C41+C42+C43</f>
        <v>46523493039.82</v>
      </c>
      <c r="C52" s="536">
        <v>0</v>
      </c>
      <c r="E52" s="190"/>
    </row>
    <row r="53" spans="1:5" x14ac:dyDescent="0.2">
      <c r="A53" s="192" t="s">
        <v>9</v>
      </c>
      <c r="B53" s="189">
        <f>+B55+B56+B57</f>
        <v>8212503433.8341999</v>
      </c>
      <c r="C53" s="535"/>
    </row>
    <row r="54" spans="1:5" x14ac:dyDescent="0.2">
      <c r="A54" s="299" t="s">
        <v>90</v>
      </c>
      <c r="B54" s="189"/>
      <c r="C54" s="535"/>
    </row>
    <row r="55" spans="1:5" x14ac:dyDescent="0.2">
      <c r="A55" s="191" t="s">
        <v>6</v>
      </c>
      <c r="B55" s="189">
        <v>49281256.833400004</v>
      </c>
      <c r="C55" s="534">
        <v>0</v>
      </c>
    </row>
    <row r="56" spans="1:5" x14ac:dyDescent="0.2">
      <c r="A56" s="191" t="s">
        <v>7</v>
      </c>
      <c r="B56" s="189">
        <v>7754247756.2834005</v>
      </c>
      <c r="C56" s="534">
        <v>0</v>
      </c>
    </row>
    <row r="57" spans="1:5" x14ac:dyDescent="0.2">
      <c r="A57" s="191" t="s">
        <v>8</v>
      </c>
      <c r="B57" s="189">
        <v>408974420.71740001</v>
      </c>
      <c r="C57" s="534">
        <v>0</v>
      </c>
      <c r="D57" s="550"/>
    </row>
    <row r="58" spans="1:5" x14ac:dyDescent="0.2">
      <c r="A58" s="9"/>
      <c r="B58" s="104"/>
      <c r="C58" s="295"/>
    </row>
    <row r="59" spans="1:5" x14ac:dyDescent="0.2">
      <c r="A59" s="296" t="s">
        <v>803</v>
      </c>
      <c r="B59" s="7">
        <f>B52+B53</f>
        <v>54735996473.654198</v>
      </c>
      <c r="C59" s="93">
        <v>1</v>
      </c>
    </row>
    <row r="60" spans="1:5" x14ac:dyDescent="0.2">
      <c r="A60" s="9"/>
      <c r="B60" s="104"/>
      <c r="C60" s="295"/>
    </row>
    <row r="61" spans="1:5" x14ac:dyDescent="0.2">
      <c r="A61" s="297" t="s">
        <v>804</v>
      </c>
      <c r="B61" s="386">
        <f>+C26</f>
        <v>0</v>
      </c>
      <c r="C61" s="93"/>
    </row>
    <row r="62" spans="1:5" x14ac:dyDescent="0.2">
      <c r="A62" s="9"/>
      <c r="B62" s="289"/>
      <c r="C62" s="290"/>
    </row>
    <row r="63" spans="1:5" x14ac:dyDescent="0.2">
      <c r="A63" s="298" t="s">
        <v>806</v>
      </c>
      <c r="B63" s="482">
        <f>B59+B61</f>
        <v>54735996473.654198</v>
      </c>
      <c r="C63" s="7"/>
      <c r="D63" s="550"/>
    </row>
    <row r="64" spans="1:5" x14ac:dyDescent="0.2">
      <c r="A64" s="9"/>
      <c r="B64" s="483"/>
      <c r="C64" s="481"/>
    </row>
    <row r="65" spans="1:3" x14ac:dyDescent="0.2">
      <c r="A65" s="6" t="s">
        <v>10</v>
      </c>
      <c r="B65" s="2"/>
      <c r="C65" s="2"/>
    </row>
    <row r="66" spans="1:3" x14ac:dyDescent="0.2">
      <c r="A66" s="105" t="s">
        <v>11</v>
      </c>
      <c r="B66" s="293" t="s">
        <v>807</v>
      </c>
      <c r="C66" s="293" t="s">
        <v>808</v>
      </c>
    </row>
    <row r="67" spans="1:3" x14ac:dyDescent="0.2">
      <c r="A67" s="9" t="s">
        <v>6</v>
      </c>
      <c r="B67" s="541">
        <v>1</v>
      </c>
      <c r="C67" s="533">
        <f>+B55*100/$B$53</f>
        <v>0.600075935802585</v>
      </c>
    </row>
    <row r="68" spans="1:3" x14ac:dyDescent="0.2">
      <c r="A68" s="9" t="s">
        <v>7</v>
      </c>
      <c r="B68" s="541">
        <v>91</v>
      </c>
      <c r="C68" s="533">
        <f>+B56*100/$B$53</f>
        <v>94.420024524277707</v>
      </c>
    </row>
    <row r="69" spans="1:3" x14ac:dyDescent="0.2">
      <c r="A69" s="9" t="s">
        <v>8</v>
      </c>
      <c r="B69" s="541" t="s">
        <v>1137</v>
      </c>
      <c r="C69" s="533">
        <f>+B57*100/$B$53</f>
        <v>4.979899539919713</v>
      </c>
    </row>
  </sheetData>
  <mergeCells count="3">
    <mergeCell ref="C7:D7"/>
    <mergeCell ref="C30:D30"/>
    <mergeCell ref="A3:B3"/>
  </mergeCells>
  <hyperlinks>
    <hyperlink ref="F1" location="BG!A1" display="BG" xr:uid="{00000000-0004-0000-0900-000000000000}"/>
  </hyperlinks>
  <printOptions horizontalCentered="1"/>
  <pageMargins left="0.70866141732283472" right="0.70866141732283472" top="0.74803149606299213" bottom="0.74803149606299213" header="0.31496062992125984" footer="0.31496062992125984"/>
  <pageSetup paperSize="9" scale="37" orientation="portrait" r:id="rId1"/>
  <rowBreaks count="1" manualBreakCount="1">
    <brk id="47" max="16383" man="1"/>
  </rowBreaks>
  <colBreaks count="1" manualBreakCount="1">
    <brk id="4"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1">
    <tabColor rgb="FFFFFF00"/>
    <pageSetUpPr fitToPage="1"/>
  </sheetPr>
  <dimension ref="A1:G36"/>
  <sheetViews>
    <sheetView showGridLines="0" topLeftCell="A21" zoomScaleNormal="100" zoomScaleSheetLayoutView="110" workbookViewId="0">
      <selection activeCell="A4" sqref="A4"/>
    </sheetView>
  </sheetViews>
  <sheetFormatPr baseColWidth="10" defaultColWidth="11.42578125" defaultRowHeight="12.75" x14ac:dyDescent="0.2"/>
  <cols>
    <col min="1" max="1" width="44.140625" style="2" bestFit="1" customWidth="1"/>
    <col min="2" max="2" width="20.85546875" style="2" customWidth="1"/>
    <col min="3" max="3" width="16.7109375" style="2" bestFit="1" customWidth="1"/>
    <col min="4" max="4" width="3.42578125" style="2" customWidth="1"/>
    <col min="5" max="5" width="38.85546875" style="2" bestFit="1" customWidth="1"/>
    <col min="6" max="6" width="18.28515625" style="2" bestFit="1" customWidth="1"/>
    <col min="7" max="7" width="15" style="2" bestFit="1" customWidth="1"/>
    <col min="8" max="16384" width="11.42578125" style="2"/>
  </cols>
  <sheetData>
    <row r="1" spans="1:4" ht="15" x14ac:dyDescent="0.25">
      <c r="A1" s="3" t="str">
        <f>Indice!C1</f>
        <v>SALLUSTRO Y CIA. S.A.</v>
      </c>
      <c r="D1" s="121" t="s">
        <v>117</v>
      </c>
    </row>
    <row r="2" spans="1:4" x14ac:dyDescent="0.2">
      <c r="A2" s="3"/>
    </row>
    <row r="3" spans="1:4" x14ac:dyDescent="0.2">
      <c r="A3" s="3"/>
    </row>
    <row r="4" spans="1:4" x14ac:dyDescent="0.2">
      <c r="A4" s="239" t="s">
        <v>243</v>
      </c>
      <c r="B4" s="239"/>
      <c r="C4" s="239"/>
    </row>
    <row r="5" spans="1:4" x14ac:dyDescent="0.2">
      <c r="A5" s="198" t="s">
        <v>197</v>
      </c>
      <c r="B5" s="198"/>
    </row>
    <row r="6" spans="1:4" x14ac:dyDescent="0.2">
      <c r="A6" s="2" t="s">
        <v>12</v>
      </c>
    </row>
    <row r="8" spans="1:4" x14ac:dyDescent="0.2">
      <c r="A8" s="12" t="s">
        <v>56</v>
      </c>
      <c r="B8" s="10"/>
      <c r="C8" s="10"/>
    </row>
    <row r="9" spans="1:4" x14ac:dyDescent="0.2">
      <c r="A9" s="10"/>
    </row>
    <row r="10" spans="1:4" x14ac:dyDescent="0.2">
      <c r="A10" s="13" t="s">
        <v>4</v>
      </c>
      <c r="B10" s="302">
        <f>IFERROR(IF(Indice!B6="","2XX2",YEAR(Indice!B6)),"2XX2")</f>
        <v>2024</v>
      </c>
      <c r="C10" s="302">
        <f>IFERROR(YEAR(Indice!B6-366),"2XX1")</f>
        <v>2023</v>
      </c>
    </row>
    <row r="11" spans="1:4" ht="15" x14ac:dyDescent="0.25">
      <c r="A11" s="10" t="s">
        <v>915</v>
      </c>
      <c r="B11" s="374">
        <v>12575208</v>
      </c>
      <c r="C11" s="374">
        <v>1592084562</v>
      </c>
    </row>
    <row r="12" spans="1:4" ht="15" x14ac:dyDescent="0.25">
      <c r="A12" s="10" t="s">
        <v>916</v>
      </c>
      <c r="B12" s="488">
        <v>20304579367.169998</v>
      </c>
      <c r="C12" s="488">
        <v>14879202480.49</v>
      </c>
    </row>
    <row r="13" spans="1:4" ht="24.75" hidden="1" customHeight="1" x14ac:dyDescent="0.25">
      <c r="A13" s="10" t="s">
        <v>1154</v>
      </c>
      <c r="B13" s="374">
        <v>0</v>
      </c>
      <c r="C13" s="374">
        <v>0</v>
      </c>
    </row>
    <row r="14" spans="1:4" ht="15" hidden="1" x14ac:dyDescent="0.25">
      <c r="A14" s="10" t="s">
        <v>917</v>
      </c>
      <c r="B14" s="374">
        <v>0</v>
      </c>
      <c r="C14" s="374">
        <v>0</v>
      </c>
    </row>
    <row r="15" spans="1:4" ht="15" x14ac:dyDescent="0.25">
      <c r="A15" s="10" t="s">
        <v>89</v>
      </c>
      <c r="B15" s="374">
        <v>1328476699.8099999</v>
      </c>
      <c r="C15" s="374">
        <v>702487028</v>
      </c>
    </row>
    <row r="16" spans="1:4" ht="15" hidden="1" x14ac:dyDescent="0.25">
      <c r="A16" s="10" t="s">
        <v>13</v>
      </c>
      <c r="B16" s="374">
        <v>0</v>
      </c>
      <c r="C16" s="374">
        <v>0</v>
      </c>
    </row>
    <row r="17" spans="1:7" ht="15" hidden="1" x14ac:dyDescent="0.25">
      <c r="A17" s="2" t="s">
        <v>962</v>
      </c>
      <c r="B17" s="374">
        <v>0</v>
      </c>
      <c r="C17" s="374">
        <v>0</v>
      </c>
    </row>
    <row r="18" spans="1:7" ht="14.25" customHeight="1" x14ac:dyDescent="0.25">
      <c r="A18" s="10" t="s">
        <v>51</v>
      </c>
      <c r="B18" s="374">
        <v>0</v>
      </c>
      <c r="C18" s="374">
        <v>261360046</v>
      </c>
    </row>
    <row r="19" spans="1:7" ht="15" hidden="1" x14ac:dyDescent="0.25">
      <c r="A19" s="10" t="s">
        <v>1153</v>
      </c>
      <c r="B19" s="374">
        <v>0</v>
      </c>
      <c r="C19" s="374">
        <v>0</v>
      </c>
    </row>
    <row r="20" spans="1:7" ht="15" x14ac:dyDescent="0.25">
      <c r="A20" s="10" t="s">
        <v>854</v>
      </c>
      <c r="B20" s="374">
        <v>0</v>
      </c>
      <c r="C20" s="374">
        <v>157231671.68000001</v>
      </c>
    </row>
    <row r="21" spans="1:7" ht="15" x14ac:dyDescent="0.25">
      <c r="A21" s="10" t="s">
        <v>1230</v>
      </c>
      <c r="B21" s="374">
        <v>1798363943</v>
      </c>
      <c r="C21" s="374">
        <v>0</v>
      </c>
    </row>
    <row r="22" spans="1:7" ht="15" x14ac:dyDescent="0.25">
      <c r="A22" s="10" t="s">
        <v>1155</v>
      </c>
      <c r="B22" s="374">
        <v>665269749.82000005</v>
      </c>
      <c r="C22" s="374">
        <v>0</v>
      </c>
    </row>
    <row r="23" spans="1:7" ht="13.5" thickBot="1" x14ac:dyDescent="0.25">
      <c r="A23" s="12" t="s">
        <v>2</v>
      </c>
      <c r="B23" s="377">
        <f>SUM($B$11:B22)</f>
        <v>24109264967.799999</v>
      </c>
      <c r="C23" s="377">
        <f>SUM($C$11:C22)</f>
        <v>17592365788.169998</v>
      </c>
    </row>
    <row r="24" spans="1:7" ht="13.5" thickTop="1" x14ac:dyDescent="0.2">
      <c r="A24" s="12"/>
      <c r="B24" s="97"/>
      <c r="C24" s="97"/>
    </row>
    <row r="26" spans="1:7" x14ac:dyDescent="0.2">
      <c r="A26" s="12" t="s">
        <v>55</v>
      </c>
      <c r="B26" s="15"/>
      <c r="C26" s="10"/>
    </row>
    <row r="27" spans="1:7" ht="15" x14ac:dyDescent="0.25">
      <c r="A27" s="10"/>
      <c r="B27" s="226"/>
      <c r="C27" s="226"/>
      <c r="E27"/>
      <c r="F27"/>
      <c r="G27"/>
    </row>
    <row r="28" spans="1:7" customFormat="1" ht="15" x14ac:dyDescent="0.25">
      <c r="A28" s="13" t="s">
        <v>4</v>
      </c>
      <c r="B28" s="302">
        <f>IFERROR(IF(Indice!B6="","2XX2",YEAR(Indice!B6)),"2XX2")</f>
        <v>2024</v>
      </c>
      <c r="C28" s="302">
        <f>IFERROR(YEAR(Indice!B6-366),"2XX1")</f>
        <v>2023</v>
      </c>
    </row>
    <row r="29" spans="1:7" customFormat="1" ht="15" x14ac:dyDescent="0.25">
      <c r="A29" s="10" t="s">
        <v>928</v>
      </c>
      <c r="B29" s="8">
        <v>548480818.17999995</v>
      </c>
      <c r="C29" s="8">
        <v>548480818.17999995</v>
      </c>
    </row>
    <row r="30" spans="1:7" customFormat="1" ht="15" x14ac:dyDescent="0.25">
      <c r="A30" s="10" t="s">
        <v>929</v>
      </c>
      <c r="B30" s="491">
        <v>461374088.75999999</v>
      </c>
      <c r="C30" s="491">
        <v>428973098.22000003</v>
      </c>
    </row>
    <row r="31" spans="1:7" customFormat="1" ht="15" hidden="1" x14ac:dyDescent="0.25">
      <c r="A31" s="10" t="s">
        <v>251</v>
      </c>
      <c r="B31" s="8"/>
      <c r="C31" s="8"/>
    </row>
    <row r="32" spans="1:7" customFormat="1" ht="15" hidden="1" x14ac:dyDescent="0.25">
      <c r="A32" s="2" t="s">
        <v>967</v>
      </c>
      <c r="B32" s="8"/>
      <c r="C32" s="8"/>
      <c r="E32" s="2"/>
      <c r="F32" s="2"/>
      <c r="G32" s="2"/>
    </row>
    <row r="33" spans="1:3" hidden="1" x14ac:dyDescent="0.2">
      <c r="A33" s="10" t="s">
        <v>855</v>
      </c>
      <c r="B33" s="8"/>
      <c r="C33" s="8"/>
    </row>
    <row r="34" spans="1:3" hidden="1" x14ac:dyDescent="0.2">
      <c r="A34" s="2" t="s">
        <v>969</v>
      </c>
      <c r="B34" s="8"/>
      <c r="C34" s="8">
        <v>0</v>
      </c>
    </row>
    <row r="35" spans="1:3" ht="13.5" thickBot="1" x14ac:dyDescent="0.25">
      <c r="A35" s="12" t="s">
        <v>2</v>
      </c>
      <c r="B35" s="377">
        <f>SUM(B29:B34)</f>
        <v>1009854906.9399999</v>
      </c>
      <c r="C35" s="377">
        <f>SUM(C29:C34)</f>
        <v>977453916.39999998</v>
      </c>
    </row>
    <row r="36" spans="1:3" ht="13.5" thickTop="1" x14ac:dyDescent="0.2"/>
  </sheetData>
  <hyperlinks>
    <hyperlink ref="D1" location="BG!A1" display="BG" xr:uid="{00000000-0004-0000-0A00-000000000000}"/>
  </hyperlink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12">
    <tabColor rgb="FFFFFF00"/>
    <pageSetUpPr fitToPage="1"/>
  </sheetPr>
  <dimension ref="A1:D14"/>
  <sheetViews>
    <sheetView showGridLines="0" topLeftCell="A7" zoomScaleNormal="100" zoomScaleSheetLayoutView="90" workbookViewId="0">
      <selection activeCell="A4" sqref="A4:D13"/>
    </sheetView>
  </sheetViews>
  <sheetFormatPr baseColWidth="10" defaultRowHeight="15" x14ac:dyDescent="0.25"/>
  <cols>
    <col min="1" max="1" width="50.140625" customWidth="1"/>
    <col min="2" max="2" width="19" customWidth="1"/>
    <col min="3" max="3" width="16.5703125" customWidth="1"/>
    <col min="4" max="4" width="3.7109375" bestFit="1" customWidth="1"/>
  </cols>
  <sheetData>
    <row r="1" spans="1:4" x14ac:dyDescent="0.25">
      <c r="A1" t="str">
        <f>Indice!C1</f>
        <v>SALLUSTRO Y CIA. S.A.</v>
      </c>
      <c r="D1" s="121" t="s">
        <v>117</v>
      </c>
    </row>
    <row r="4" spans="1:4" x14ac:dyDescent="0.25">
      <c r="A4" s="637" t="s">
        <v>252</v>
      </c>
      <c r="B4" s="637"/>
      <c r="C4" s="637"/>
    </row>
    <row r="6" spans="1:4" x14ac:dyDescent="0.25">
      <c r="A6" s="656" t="s">
        <v>15</v>
      </c>
      <c r="B6" s="656"/>
      <c r="C6" s="656"/>
      <c r="D6" s="656"/>
    </row>
    <row r="7" spans="1:4" ht="15" customHeight="1" x14ac:dyDescent="0.25">
      <c r="B7" s="652" t="s">
        <v>197</v>
      </c>
      <c r="C7" s="652"/>
    </row>
    <row r="8" spans="1:4" x14ac:dyDescent="0.25">
      <c r="A8" s="13" t="s">
        <v>4</v>
      </c>
      <c r="B8" s="302">
        <f>IFERROR(IF(Indice!B6="","2XX2",YEAR(Indice!B6)),"2XX2")</f>
        <v>2024</v>
      </c>
      <c r="C8" s="302">
        <f>IFERROR(YEAR(Indice!B6-366),"2XX1")</f>
        <v>2023</v>
      </c>
    </row>
    <row r="9" spans="1:4" x14ac:dyDescent="0.25">
      <c r="A9" s="18" t="s">
        <v>88</v>
      </c>
      <c r="B9" s="374">
        <v>89906766309</v>
      </c>
      <c r="C9" s="374">
        <v>76073350487.960007</v>
      </c>
    </row>
    <row r="10" spans="1:4" x14ac:dyDescent="0.25">
      <c r="A10" s="18" t="s">
        <v>1213</v>
      </c>
      <c r="B10" s="374">
        <v>12137247935.4</v>
      </c>
      <c r="C10" s="374">
        <v>16110820100.4</v>
      </c>
    </row>
    <row r="11" spans="1:4" x14ac:dyDescent="0.25">
      <c r="A11" s="18" t="s">
        <v>1214</v>
      </c>
      <c r="B11" s="374">
        <v>978687036.00999999</v>
      </c>
      <c r="C11" s="374">
        <v>877199074.24000001</v>
      </c>
    </row>
    <row r="12" spans="1:4" ht="15" customHeight="1" x14ac:dyDescent="0.25">
      <c r="A12" s="193" t="s">
        <v>253</v>
      </c>
      <c r="B12" s="8">
        <v>0</v>
      </c>
      <c r="C12" s="8">
        <v>0</v>
      </c>
    </row>
    <row r="13" spans="1:4" ht="18" customHeight="1" thickBot="1" x14ac:dyDescent="0.3">
      <c r="A13" s="12" t="s">
        <v>14</v>
      </c>
      <c r="B13" s="17">
        <f>SUM(B9:B12)</f>
        <v>103022701280.40999</v>
      </c>
      <c r="C13" s="17">
        <f>SUM(C9:C12)</f>
        <v>93061369662.600006</v>
      </c>
    </row>
    <row r="14" spans="1:4" ht="15.75" thickTop="1" x14ac:dyDescent="0.25"/>
  </sheetData>
  <mergeCells count="3">
    <mergeCell ref="B7:C7"/>
    <mergeCell ref="A6:D6"/>
    <mergeCell ref="A4:C4"/>
  </mergeCells>
  <hyperlinks>
    <hyperlink ref="D1" location="BG!A1" display="BG" xr:uid="{00000000-0004-0000-0B00-000000000000}"/>
  </hyperlinks>
  <printOptions horizontalCentered="1"/>
  <pageMargins left="0.70866141732283472" right="0.70866141732283472" top="0.74803149606299213" bottom="0.74803149606299213" header="0.31496062992125984" footer="0.31496062992125984"/>
  <pageSetup paperSize="9" scale="9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13">
    <tabColor rgb="FFFFFF00"/>
    <pageSetUpPr fitToPage="1"/>
  </sheetPr>
  <dimension ref="A1:AD28"/>
  <sheetViews>
    <sheetView zoomScaleNormal="100" zoomScaleSheetLayoutView="70" workbookViewId="0">
      <selection activeCell="B9" sqref="B9"/>
    </sheetView>
  </sheetViews>
  <sheetFormatPr baseColWidth="10" defaultColWidth="5.85546875" defaultRowHeight="15" x14ac:dyDescent="0.25"/>
  <cols>
    <col min="1" max="1" width="74.140625" style="103" bestFit="1" customWidth="1"/>
    <col min="2" max="2" width="8.28515625" style="103" bestFit="1" customWidth="1"/>
    <col min="3" max="4" width="19" style="103" bestFit="1" customWidth="1"/>
    <col min="5" max="5" width="16.42578125" style="103" bestFit="1" customWidth="1"/>
    <col min="6" max="6" width="13.7109375" style="103" customWidth="1"/>
    <col min="7" max="30" width="5.85546875" style="103"/>
  </cols>
  <sheetData>
    <row r="1" spans="1:12" x14ac:dyDescent="0.25">
      <c r="A1" s="103" t="str">
        <f>Indice!C1</f>
        <v>SALLUSTRO Y CIA. S.A.</v>
      </c>
      <c r="B1" s="122"/>
      <c r="D1" s="122" t="s">
        <v>117</v>
      </c>
    </row>
    <row r="4" spans="1:12" x14ac:dyDescent="0.25">
      <c r="A4" s="637" t="s">
        <v>255</v>
      </c>
      <c r="B4" s="637"/>
      <c r="C4" s="637"/>
      <c r="D4" s="637"/>
      <c r="E4" s="637"/>
      <c r="F4" s="637"/>
    </row>
    <row r="5" spans="1:12" s="26" customFormat="1" x14ac:dyDescent="0.25">
      <c r="A5" s="308" t="s">
        <v>197</v>
      </c>
      <c r="B5" s="309"/>
      <c r="C5" s="123"/>
      <c r="D5" s="123"/>
      <c r="E5" s="123"/>
      <c r="F5" s="123"/>
    </row>
    <row r="6" spans="1:12" x14ac:dyDescent="0.25">
      <c r="A6" s="103" t="s">
        <v>256</v>
      </c>
    </row>
    <row r="7" spans="1:12" x14ac:dyDescent="0.25">
      <c r="A7" s="103" t="s">
        <v>400</v>
      </c>
      <c r="B7" s="306">
        <f>IFERROR(IF(Indice!B6="","2XX2",YEAR(Indice!B6)),"2XX2")</f>
        <v>2024</v>
      </c>
      <c r="C7" s="305">
        <f>IFERROR(YEAR(Indice!B6-366),"2XX1")</f>
        <v>2023</v>
      </c>
    </row>
    <row r="8" spans="1:12" x14ac:dyDescent="0.25">
      <c r="A8" s="103" t="s">
        <v>403</v>
      </c>
      <c r="B8" s="236">
        <f>SUM($C$23:C28)</f>
        <v>0</v>
      </c>
      <c r="C8" s="238">
        <v>0</v>
      </c>
      <c r="D8" s="235" t="s">
        <v>408</v>
      </c>
    </row>
    <row r="10" spans="1:12" x14ac:dyDescent="0.25">
      <c r="A10" s="103" t="s">
        <v>259</v>
      </c>
      <c r="D10"/>
      <c r="E10"/>
      <c r="G10"/>
      <c r="H10"/>
      <c r="I10"/>
      <c r="J10"/>
      <c r="K10"/>
      <c r="L10"/>
    </row>
    <row r="11" spans="1:12" x14ac:dyDescent="0.25">
      <c r="D11" s="310">
        <f>IFERROR(IF(Indice!B6="","2XX2",YEAR(Indice!B6)),"2XX2")</f>
        <v>2024</v>
      </c>
      <c r="E11" s="307"/>
    </row>
    <row r="12" spans="1:12" ht="15" customHeight="1" x14ac:dyDescent="0.25">
      <c r="A12" s="233" t="s">
        <v>385</v>
      </c>
      <c r="B12" s="227" t="s">
        <v>386</v>
      </c>
      <c r="C12" s="233" t="s">
        <v>402</v>
      </c>
      <c r="D12" s="234" t="s">
        <v>399</v>
      </c>
      <c r="E12" s="234" t="s">
        <v>257</v>
      </c>
    </row>
    <row r="13" spans="1:12" x14ac:dyDescent="0.25">
      <c r="A13" s="194"/>
      <c r="B13" s="194"/>
      <c r="C13" s="194"/>
      <c r="D13" s="194"/>
      <c r="E13" s="194"/>
    </row>
    <row r="14" spans="1:12" x14ac:dyDescent="0.25">
      <c r="A14" s="169"/>
      <c r="B14" s="169"/>
      <c r="C14" s="169"/>
      <c r="D14" s="169"/>
      <c r="E14" s="169"/>
    </row>
    <row r="15" spans="1:12" x14ac:dyDescent="0.25">
      <c r="A15" s="169"/>
      <c r="B15" s="169"/>
      <c r="C15" s="169"/>
      <c r="D15" s="169"/>
      <c r="E15" s="169"/>
    </row>
    <row r="16" spans="1:12" x14ac:dyDescent="0.25">
      <c r="A16" s="169"/>
      <c r="B16" s="169"/>
      <c r="C16" s="169"/>
      <c r="D16" s="169"/>
      <c r="E16" s="169"/>
    </row>
    <row r="17" spans="1:6" x14ac:dyDescent="0.25">
      <c r="A17" s="169"/>
      <c r="B17" s="169"/>
      <c r="C17" s="169"/>
      <c r="D17" s="169"/>
      <c r="E17" s="169"/>
    </row>
    <row r="18" spans="1:6" x14ac:dyDescent="0.25">
      <c r="A18" s="169"/>
      <c r="B18" s="169"/>
      <c r="C18" s="169"/>
      <c r="D18" s="169"/>
      <c r="E18" s="169"/>
    </row>
    <row r="20" spans="1:6" x14ac:dyDescent="0.25">
      <c r="A20" s="103" t="s">
        <v>401</v>
      </c>
    </row>
    <row r="22" spans="1:6" ht="90" x14ac:dyDescent="0.25">
      <c r="A22" s="233" t="s">
        <v>402</v>
      </c>
      <c r="B22" s="233" t="s">
        <v>404</v>
      </c>
      <c r="C22" s="233" t="s">
        <v>407</v>
      </c>
      <c r="D22" s="233" t="s">
        <v>405</v>
      </c>
      <c r="E22" s="233" t="s">
        <v>260</v>
      </c>
      <c r="F22" s="233" t="s">
        <v>406</v>
      </c>
    </row>
    <row r="23" spans="1:6" ht="15" customHeight="1" x14ac:dyDescent="0.25">
      <c r="A23" s="194"/>
      <c r="B23" s="194"/>
      <c r="C23" s="194"/>
      <c r="D23" s="194"/>
      <c r="E23" s="237">
        <f t="shared" ref="E23:E28" si="0">D23*D13</f>
        <v>0</v>
      </c>
      <c r="F23" s="237">
        <f t="shared" ref="F23:F28" si="1">D23*E13</f>
        <v>0</v>
      </c>
    </row>
    <row r="24" spans="1:6" hidden="1" x14ac:dyDescent="0.25">
      <c r="A24" s="169"/>
      <c r="B24" s="169"/>
      <c r="C24" s="169"/>
      <c r="D24" s="194"/>
      <c r="E24" s="237">
        <f t="shared" si="0"/>
        <v>0</v>
      </c>
      <c r="F24" s="237">
        <f t="shared" si="1"/>
        <v>0</v>
      </c>
    </row>
    <row r="25" spans="1:6" hidden="1" x14ac:dyDescent="0.25">
      <c r="A25" s="169"/>
      <c r="B25" s="169"/>
      <c r="C25" s="169"/>
      <c r="D25" s="194"/>
      <c r="E25" s="237">
        <f t="shared" si="0"/>
        <v>0</v>
      </c>
      <c r="F25" s="237">
        <f t="shared" si="1"/>
        <v>0</v>
      </c>
    </row>
    <row r="26" spans="1:6" hidden="1" x14ac:dyDescent="0.25">
      <c r="A26" s="169"/>
      <c r="B26" s="169"/>
      <c r="C26" s="169"/>
      <c r="D26" s="194"/>
      <c r="E26" s="237">
        <f t="shared" si="0"/>
        <v>0</v>
      </c>
      <c r="F26" s="237">
        <f t="shared" si="1"/>
        <v>0</v>
      </c>
    </row>
    <row r="27" spans="1:6" hidden="1" x14ac:dyDescent="0.25">
      <c r="A27" s="169"/>
      <c r="B27" s="169"/>
      <c r="C27" s="169"/>
      <c r="D27" s="194"/>
      <c r="E27" s="237">
        <f t="shared" si="0"/>
        <v>0</v>
      </c>
      <c r="F27" s="237">
        <f t="shared" si="1"/>
        <v>0</v>
      </c>
    </row>
    <row r="28" spans="1:6" hidden="1" x14ac:dyDescent="0.25">
      <c r="A28" s="169"/>
      <c r="B28" s="169"/>
      <c r="C28" s="169"/>
      <c r="D28" s="194"/>
      <c r="E28" s="237">
        <f t="shared" si="0"/>
        <v>0</v>
      </c>
      <c r="F28" s="237">
        <f t="shared" si="1"/>
        <v>0</v>
      </c>
    </row>
  </sheetData>
  <mergeCells count="1">
    <mergeCell ref="A4:F4"/>
  </mergeCells>
  <hyperlinks>
    <hyperlink ref="D1" location="BG!A1" display="BG" xr:uid="{00000000-0004-0000-0C00-000000000000}"/>
  </hyperlinks>
  <printOptions horizontalCentered="1"/>
  <pageMargins left="0.70866141732283472" right="0.70866141732283472" top="0.74803149606299213" bottom="0.74803149606299213" header="0.31496062992125984" footer="0.31496062992125984"/>
  <pageSetup paperSize="9" scale="87" orientation="landscape" r:id="rId1"/>
  <colBreaks count="2" manualBreakCount="2">
    <brk id="5" max="4" man="1"/>
    <brk id="12" max="104857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14">
    <tabColor rgb="FFFFFF00"/>
    <pageSetUpPr fitToPage="1"/>
  </sheetPr>
  <dimension ref="A1:CX33"/>
  <sheetViews>
    <sheetView topLeftCell="J7" zoomScale="90" zoomScaleNormal="90" zoomScaleSheetLayoutView="70" workbookViewId="0">
      <selection activeCell="A15" sqref="A15:M27"/>
    </sheetView>
  </sheetViews>
  <sheetFormatPr baseColWidth="10" defaultRowHeight="15" x14ac:dyDescent="0.25"/>
  <cols>
    <col min="1" max="1" width="23.28515625" style="103" customWidth="1"/>
    <col min="2" max="2" width="16.7109375" style="103" bestFit="1" customWidth="1"/>
    <col min="3" max="3" width="13.42578125" style="103" bestFit="1" customWidth="1"/>
    <col min="4" max="4" width="13.28515625" style="103" customWidth="1"/>
    <col min="5" max="5" width="8" style="103" customWidth="1"/>
    <col min="6" max="6" width="16.85546875" style="103" customWidth="1"/>
    <col min="7" max="7" width="15.7109375" style="103" customWidth="1"/>
    <col min="8" max="8" width="14.7109375" style="103" customWidth="1"/>
    <col min="9" max="9" width="13.5703125" style="103" customWidth="1"/>
    <col min="10" max="10" width="10.7109375" style="103" customWidth="1"/>
    <col min="11" max="11" width="17.28515625" style="103" customWidth="1"/>
    <col min="12" max="12" width="14.28515625" style="103" customWidth="1"/>
    <col min="13" max="13" width="14.5703125" style="103" customWidth="1"/>
    <col min="14" max="14" width="14.140625" style="103" bestFit="1" customWidth="1"/>
    <col min="15" max="15" width="15" style="103" bestFit="1" customWidth="1"/>
    <col min="16" max="30" width="11.42578125" style="103" customWidth="1"/>
  </cols>
  <sheetData>
    <row r="1" spans="1:102" ht="15.75" x14ac:dyDescent="0.25">
      <c r="A1" s="508" t="str">
        <f>Indice!C1</f>
        <v>SALLUSTRO Y CIA. S.A.</v>
      </c>
      <c r="L1" s="122" t="s">
        <v>117</v>
      </c>
    </row>
    <row r="5" spans="1:102" x14ac:dyDescent="0.25">
      <c r="A5" s="108" t="s">
        <v>263</v>
      </c>
    </row>
    <row r="6" spans="1:102" x14ac:dyDescent="0.25">
      <c r="A6" s="103" t="s">
        <v>264</v>
      </c>
    </row>
    <row r="7" spans="1:102" x14ac:dyDescent="0.25">
      <c r="A7" s="103" t="s">
        <v>266</v>
      </c>
    </row>
    <row r="8" spans="1:102" x14ac:dyDescent="0.25">
      <c r="A8" s="103" t="s">
        <v>267</v>
      </c>
    </row>
    <row r="9" spans="1:102" x14ac:dyDescent="0.25">
      <c r="A9" s="103" t="s">
        <v>268</v>
      </c>
    </row>
    <row r="10" spans="1:102" x14ac:dyDescent="0.25">
      <c r="A10" s="103" t="s">
        <v>265</v>
      </c>
    </row>
    <row r="12" spans="1:102" ht="24.75" customHeight="1" x14ac:dyDescent="0.25">
      <c r="A12" s="657" t="s">
        <v>261</v>
      </c>
      <c r="B12" s="658"/>
      <c r="C12" s="658"/>
      <c r="D12" s="658"/>
      <c r="E12" s="658"/>
      <c r="F12" s="658"/>
      <c r="G12" s="658"/>
      <c r="H12" s="658"/>
      <c r="I12" s="658"/>
      <c r="J12" s="658"/>
      <c r="K12" s="658"/>
      <c r="L12" s="658"/>
      <c r="M12" s="659"/>
      <c r="N12" s="137"/>
      <c r="O12" s="137"/>
      <c r="P12" s="137"/>
      <c r="Q12" s="137"/>
      <c r="R12" s="137"/>
      <c r="S12" s="137"/>
      <c r="AE12" s="103"/>
      <c r="AF12" s="103"/>
      <c r="AG12" s="103"/>
      <c r="AH12" s="103"/>
      <c r="AI12" s="103"/>
      <c r="AJ12" s="103"/>
      <c r="AK12" s="103"/>
      <c r="AL12" s="103"/>
      <c r="AM12" s="103"/>
      <c r="AN12" s="103"/>
      <c r="AO12" s="103"/>
      <c r="AP12" s="103"/>
      <c r="AQ12" s="103"/>
      <c r="AR12" s="103"/>
      <c r="AS12" s="103"/>
      <c r="AT12" s="103"/>
      <c r="AU12" s="103"/>
      <c r="AV12" s="103"/>
      <c r="AW12" s="103"/>
      <c r="AX12" s="103"/>
      <c r="AY12" s="103"/>
      <c r="AZ12" s="103"/>
      <c r="BA12" s="103"/>
      <c r="BB12" s="103"/>
      <c r="BC12" s="103"/>
      <c r="BD12" s="103"/>
      <c r="BE12" s="103"/>
      <c r="BF12" s="103"/>
      <c r="BG12" s="103"/>
      <c r="BH12" s="103"/>
      <c r="BI12" s="103"/>
      <c r="BJ12" s="103"/>
    </row>
    <row r="13" spans="1:102" x14ac:dyDescent="0.25">
      <c r="A13" s="312" t="s">
        <v>197</v>
      </c>
      <c r="B13" s="137"/>
      <c r="C13" s="137"/>
      <c r="D13" s="137"/>
      <c r="E13" s="137"/>
      <c r="F13" s="137"/>
      <c r="G13" s="137"/>
      <c r="H13" s="137"/>
      <c r="I13" s="137"/>
      <c r="J13" s="138">
        <v>-1</v>
      </c>
      <c r="K13" s="137"/>
      <c r="L13" s="137"/>
      <c r="M13" s="137"/>
      <c r="N13" s="137"/>
      <c r="O13" s="137"/>
      <c r="P13" s="137"/>
      <c r="Q13" s="137"/>
      <c r="R13" s="137"/>
      <c r="S13" s="137"/>
      <c r="AE13" s="103"/>
      <c r="AF13" s="103"/>
      <c r="AG13" s="103"/>
      <c r="AH13" s="103"/>
      <c r="AI13" s="103"/>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103"/>
      <c r="BH13" s="103"/>
      <c r="BI13" s="103"/>
      <c r="BJ13" s="103"/>
    </row>
    <row r="14" spans="1:102" s="26" customFormat="1" x14ac:dyDescent="0.25">
      <c r="B14" s="311"/>
      <c r="C14" s="311"/>
      <c r="D14" s="311"/>
      <c r="E14" s="311"/>
      <c r="F14" s="311"/>
      <c r="G14" s="311"/>
      <c r="H14" s="311"/>
      <c r="I14" s="311"/>
      <c r="J14" s="311"/>
      <c r="K14" s="311"/>
      <c r="L14" s="311"/>
      <c r="M14" s="311"/>
      <c r="N14" s="136"/>
      <c r="O14" s="136"/>
      <c r="P14" s="136"/>
      <c r="Q14" s="136"/>
      <c r="R14" s="136"/>
      <c r="S14" s="136"/>
    </row>
    <row r="15" spans="1:102" s="135" customFormat="1" ht="55.5" customHeight="1" x14ac:dyDescent="0.25">
      <c r="A15" s="315"/>
      <c r="B15" s="313" t="s">
        <v>183</v>
      </c>
      <c r="C15" s="313" t="s">
        <v>184</v>
      </c>
      <c r="D15" s="313" t="s">
        <v>52</v>
      </c>
      <c r="E15" s="313" t="s">
        <v>185</v>
      </c>
      <c r="F15" s="313" t="s">
        <v>186</v>
      </c>
      <c r="G15" s="313" t="s">
        <v>187</v>
      </c>
      <c r="H15" s="313" t="s">
        <v>188</v>
      </c>
      <c r="I15" s="313" t="s">
        <v>189</v>
      </c>
      <c r="J15" s="313" t="s">
        <v>190</v>
      </c>
      <c r="K15" s="313" t="s">
        <v>191</v>
      </c>
      <c r="L15" s="314" t="s">
        <v>409</v>
      </c>
      <c r="M15" s="318"/>
      <c r="N15" s="136"/>
      <c r="O15" s="136"/>
      <c r="P15" s="136"/>
      <c r="Q15" s="136"/>
      <c r="R15" s="136"/>
      <c r="S15" s="13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row>
    <row r="16" spans="1:102" s="135" customFormat="1" x14ac:dyDescent="0.25">
      <c r="A16" s="316"/>
      <c r="B16" s="317"/>
      <c r="C16" s="317"/>
      <c r="D16" s="317"/>
      <c r="E16" s="317"/>
      <c r="F16" s="317"/>
      <c r="G16" s="317"/>
      <c r="H16" s="317"/>
      <c r="I16" s="317"/>
      <c r="J16" s="317"/>
      <c r="K16" s="317"/>
      <c r="L16" s="319">
        <f>IFERROR(IF(Indice!B6="","2XX2",YEAR(Indice!B6)),"2XX2")</f>
        <v>2024</v>
      </c>
      <c r="M16" s="320">
        <f>IFERROR(YEAR(Indice!B6-366),"2XX1")</f>
        <v>2023</v>
      </c>
      <c r="N16" s="136"/>
      <c r="O16" s="136"/>
      <c r="P16" s="136"/>
      <c r="Q16" s="136"/>
      <c r="R16" s="136"/>
      <c r="S16" s="13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row>
    <row r="17" spans="1:62" x14ac:dyDescent="0.25">
      <c r="A17" s="139" t="s">
        <v>192</v>
      </c>
      <c r="B17" s="140">
        <v>0</v>
      </c>
      <c r="C17" s="441">
        <f t="shared" ref="C17:C26" si="0">+F17-B17+D17-E17</f>
        <v>0</v>
      </c>
      <c r="D17" s="441">
        <v>0</v>
      </c>
      <c r="E17" s="441">
        <v>0</v>
      </c>
      <c r="F17" s="441">
        <v>0</v>
      </c>
      <c r="G17" s="441">
        <v>0</v>
      </c>
      <c r="H17" s="441">
        <f t="shared" ref="H17:H26" si="1">+K17-G17+I17-J17</f>
        <v>0</v>
      </c>
      <c r="I17" s="441">
        <v>0</v>
      </c>
      <c r="J17" s="441">
        <v>0</v>
      </c>
      <c r="K17" s="441">
        <v>0</v>
      </c>
      <c r="L17" s="141"/>
      <c r="M17" s="142">
        <f>+B17+G17</f>
        <v>0</v>
      </c>
      <c r="N17" s="143"/>
      <c r="O17" s="137"/>
      <c r="P17" s="137"/>
      <c r="Q17" s="137"/>
      <c r="R17" s="137"/>
      <c r="S17" s="137"/>
      <c r="AE17" s="103"/>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103"/>
      <c r="BH17" s="103"/>
      <c r="BI17" s="103"/>
      <c r="BJ17" s="103"/>
    </row>
    <row r="18" spans="1:62" x14ac:dyDescent="0.25">
      <c r="A18" s="139" t="s">
        <v>860</v>
      </c>
      <c r="B18" s="140">
        <v>14408748168.84</v>
      </c>
      <c r="C18" s="441">
        <f t="shared" si="0"/>
        <v>20000000</v>
      </c>
      <c r="D18" s="439">
        <v>3676499901.8400002</v>
      </c>
      <c r="E18" s="441">
        <v>0</v>
      </c>
      <c r="F18" s="140">
        <v>10752248267</v>
      </c>
      <c r="G18" s="441">
        <v>0</v>
      </c>
      <c r="H18" s="441">
        <f t="shared" si="1"/>
        <v>0</v>
      </c>
      <c r="I18" s="441">
        <v>0</v>
      </c>
      <c r="J18" s="441">
        <v>0</v>
      </c>
      <c r="K18" s="441">
        <v>0</v>
      </c>
      <c r="L18" s="140">
        <f>F18+K18</f>
        <v>10752248267</v>
      </c>
      <c r="M18" s="142">
        <f>+B18+G18</f>
        <v>14408748168.84</v>
      </c>
      <c r="N18" s="552"/>
      <c r="O18" s="143"/>
      <c r="P18" s="137"/>
      <c r="Q18" s="137"/>
      <c r="R18" s="137"/>
      <c r="S18" s="137"/>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3"/>
      <c r="BA18" s="103"/>
      <c r="BB18" s="103"/>
      <c r="BC18" s="103"/>
      <c r="BD18" s="103"/>
      <c r="BE18" s="103"/>
      <c r="BF18" s="103"/>
      <c r="BG18" s="103"/>
      <c r="BH18" s="103"/>
      <c r="BI18" s="103"/>
      <c r="BJ18" s="103"/>
    </row>
    <row r="19" spans="1:62" x14ac:dyDescent="0.25">
      <c r="A19" s="139" t="s">
        <v>1017</v>
      </c>
      <c r="B19" s="140">
        <v>169942447</v>
      </c>
      <c r="C19" s="441">
        <f t="shared" si="0"/>
        <v>0</v>
      </c>
      <c r="D19" s="439">
        <v>0</v>
      </c>
      <c r="E19" s="441">
        <v>0</v>
      </c>
      <c r="F19" s="140">
        <v>169942447</v>
      </c>
      <c r="G19" s="441">
        <v>0</v>
      </c>
      <c r="H19" s="441">
        <f t="shared" si="1"/>
        <v>0</v>
      </c>
      <c r="I19" s="441">
        <v>0</v>
      </c>
      <c r="J19" s="441">
        <v>0</v>
      </c>
      <c r="K19" s="441">
        <v>0</v>
      </c>
      <c r="L19" s="140">
        <f t="shared" ref="L19:L26" si="2">F19+K19</f>
        <v>169942447</v>
      </c>
      <c r="M19" s="142">
        <f t="shared" ref="M19:M26" si="3">+B19+G19</f>
        <v>169942447</v>
      </c>
      <c r="N19" s="552"/>
      <c r="O19" s="143"/>
      <c r="P19" s="137"/>
      <c r="Q19" s="137"/>
      <c r="R19" s="137"/>
      <c r="S19" s="137"/>
      <c r="AE19" s="103"/>
      <c r="AF19" s="103"/>
      <c r="AG19" s="103"/>
      <c r="AH19" s="103"/>
      <c r="AI19" s="103"/>
      <c r="AJ19" s="103"/>
      <c r="AK19" s="103"/>
      <c r="AL19" s="103"/>
      <c r="AM19" s="103"/>
      <c r="AN19" s="103"/>
      <c r="AO19" s="103"/>
      <c r="AP19" s="103"/>
      <c r="AQ19" s="103"/>
      <c r="AR19" s="103"/>
      <c r="AS19" s="103"/>
      <c r="AT19" s="103"/>
      <c r="AU19" s="103"/>
      <c r="AV19" s="103"/>
      <c r="AW19" s="103"/>
      <c r="AX19" s="103"/>
      <c r="AY19" s="103"/>
      <c r="AZ19" s="103"/>
      <c r="BA19" s="103"/>
      <c r="BB19" s="103"/>
      <c r="BC19" s="103"/>
      <c r="BD19" s="103"/>
      <c r="BE19" s="103"/>
      <c r="BF19" s="103"/>
      <c r="BG19" s="103"/>
      <c r="BH19" s="103"/>
      <c r="BI19" s="103"/>
      <c r="BJ19" s="103"/>
    </row>
    <row r="20" spans="1:62" x14ac:dyDescent="0.25">
      <c r="A20" s="139" t="s">
        <v>1156</v>
      </c>
      <c r="B20" s="140">
        <v>1458826497.3599999</v>
      </c>
      <c r="C20" s="441">
        <f t="shared" si="0"/>
        <v>0</v>
      </c>
      <c r="D20" s="439">
        <v>0</v>
      </c>
      <c r="E20" s="441">
        <v>0</v>
      </c>
      <c r="F20" s="140">
        <v>1458826497.3599999</v>
      </c>
      <c r="G20" s="441">
        <v>0</v>
      </c>
      <c r="H20" s="441">
        <f t="shared" si="1"/>
        <v>0</v>
      </c>
      <c r="I20" s="441">
        <v>0</v>
      </c>
      <c r="J20" s="441">
        <v>0</v>
      </c>
      <c r="K20" s="441">
        <v>0</v>
      </c>
      <c r="L20" s="140">
        <f t="shared" si="2"/>
        <v>1458826497.3599999</v>
      </c>
      <c r="M20" s="142">
        <f t="shared" si="3"/>
        <v>1458826497.3599999</v>
      </c>
      <c r="N20" s="552"/>
      <c r="O20" s="143"/>
      <c r="P20" s="137"/>
      <c r="Q20" s="137"/>
      <c r="R20" s="137"/>
      <c r="S20" s="137"/>
      <c r="AE20" s="103"/>
      <c r="AF20" s="103"/>
      <c r="AG20" s="103"/>
      <c r="AH20" s="103"/>
      <c r="AI20" s="103"/>
      <c r="AJ20" s="103"/>
      <c r="AK20" s="103"/>
      <c r="AL20" s="103"/>
      <c r="AM20" s="103"/>
      <c r="AN20" s="103"/>
      <c r="AO20" s="103"/>
      <c r="AP20" s="103"/>
      <c r="AQ20" s="103"/>
      <c r="AR20" s="103"/>
      <c r="AS20" s="103"/>
      <c r="AT20" s="103"/>
      <c r="AU20" s="103"/>
      <c r="AV20" s="103"/>
      <c r="AW20" s="103"/>
      <c r="AX20" s="103"/>
      <c r="AY20" s="103"/>
      <c r="AZ20" s="103"/>
      <c r="BA20" s="103"/>
      <c r="BB20" s="103"/>
      <c r="BC20" s="103"/>
      <c r="BD20" s="103"/>
      <c r="BE20" s="103"/>
      <c r="BF20" s="103"/>
      <c r="BG20" s="103"/>
      <c r="BH20" s="103"/>
      <c r="BI20" s="103"/>
      <c r="BJ20" s="103"/>
    </row>
    <row r="21" spans="1:62" x14ac:dyDescent="0.25">
      <c r="A21" s="139" t="s">
        <v>193</v>
      </c>
      <c r="B21" s="140">
        <v>2825156829.0700002</v>
      </c>
      <c r="C21" s="439">
        <f t="shared" si="0"/>
        <v>908656164.08599973</v>
      </c>
      <c r="D21" s="439">
        <f>79225862.256+78168082.86+278063643</f>
        <v>435457588.116</v>
      </c>
      <c r="E21" s="441">
        <v>0</v>
      </c>
      <c r="F21" s="140">
        <v>3298355405.04</v>
      </c>
      <c r="G21" s="140">
        <v>-1174372737.0804229</v>
      </c>
      <c r="H21" s="141">
        <f>+K21-G21+I21-J21</f>
        <v>-268937920.62357718</v>
      </c>
      <c r="I21" s="141">
        <f>-(140845977.344+14889158.64)</f>
        <v>-155735135.98400003</v>
      </c>
      <c r="J21" s="441">
        <v>0</v>
      </c>
      <c r="K21" s="440">
        <v>-1287575521.72</v>
      </c>
      <c r="L21" s="140">
        <f t="shared" si="2"/>
        <v>2010779883.3199999</v>
      </c>
      <c r="M21" s="142">
        <f t="shared" si="3"/>
        <v>1650784091.9895773</v>
      </c>
      <c r="N21" s="552"/>
      <c r="O21" s="143"/>
      <c r="P21" s="137"/>
      <c r="Q21" s="137"/>
      <c r="R21" s="137"/>
      <c r="S21" s="137"/>
      <c r="AE21" s="103"/>
      <c r="AF21" s="103"/>
      <c r="AG21" s="103"/>
      <c r="AH21" s="103"/>
      <c r="AI21" s="103"/>
      <c r="AJ21" s="103"/>
      <c r="AK21" s="103"/>
      <c r="AL21" s="103"/>
      <c r="AM21" s="103"/>
      <c r="AN21" s="103"/>
      <c r="AO21" s="103"/>
      <c r="AP21" s="103"/>
      <c r="AQ21" s="103"/>
      <c r="AR21" s="103"/>
      <c r="AS21" s="103"/>
      <c r="AT21" s="103"/>
      <c r="AU21" s="103"/>
      <c r="AV21" s="103"/>
      <c r="AW21" s="103"/>
      <c r="AX21" s="103"/>
      <c r="AY21" s="103"/>
      <c r="AZ21" s="103"/>
      <c r="BA21" s="103"/>
      <c r="BB21" s="103"/>
      <c r="BC21" s="103"/>
      <c r="BD21" s="103"/>
      <c r="BE21" s="103"/>
      <c r="BF21" s="103"/>
      <c r="BG21" s="103"/>
      <c r="BH21" s="103"/>
      <c r="BI21" s="103"/>
      <c r="BJ21" s="103"/>
    </row>
    <row r="22" spans="1:62" x14ac:dyDescent="0.25">
      <c r="A22" s="139" t="s">
        <v>195</v>
      </c>
      <c r="B22" s="140">
        <v>22809551798.610001</v>
      </c>
      <c r="C22" s="439">
        <f t="shared" si="0"/>
        <v>1210170076.8999977</v>
      </c>
      <c r="D22" s="439">
        <v>0</v>
      </c>
      <c r="E22" s="441">
        <v>0</v>
      </c>
      <c r="F22" s="140">
        <v>24019721875.509998</v>
      </c>
      <c r="G22" s="140">
        <v>-14697251600.02</v>
      </c>
      <c r="H22" s="141">
        <f>+K22-G22+I22-J22</f>
        <v>-1303787374.5599995</v>
      </c>
      <c r="I22" s="441">
        <v>0</v>
      </c>
      <c r="J22" s="441">
        <v>0</v>
      </c>
      <c r="K22" s="440">
        <v>-16001038974.58</v>
      </c>
      <c r="L22" s="140">
        <f t="shared" si="2"/>
        <v>8018682900.9299984</v>
      </c>
      <c r="M22" s="142">
        <f t="shared" si="3"/>
        <v>8112300198.5900002</v>
      </c>
      <c r="N22" s="552"/>
      <c r="O22" s="143"/>
      <c r="P22" s="137"/>
      <c r="Q22" s="137"/>
      <c r="R22" s="137"/>
      <c r="S22" s="137"/>
      <c r="AE22" s="103"/>
      <c r="AF22" s="103"/>
      <c r="AG22" s="103"/>
      <c r="AH22" s="103"/>
      <c r="AI22" s="103"/>
      <c r="AJ22" s="103"/>
      <c r="AK22" s="103"/>
      <c r="AL22" s="103"/>
      <c r="AM22" s="103"/>
      <c r="AN22" s="103"/>
      <c r="AO22" s="103"/>
      <c r="AP22" s="103"/>
      <c r="AQ22" s="103"/>
      <c r="AR22" s="103"/>
      <c r="AS22" s="103"/>
      <c r="AT22" s="103"/>
      <c r="AU22" s="103"/>
      <c r="AV22" s="103"/>
      <c r="AW22" s="103"/>
      <c r="AX22" s="103"/>
      <c r="AY22" s="103"/>
      <c r="AZ22" s="103"/>
      <c r="BA22" s="103"/>
      <c r="BB22" s="103"/>
      <c r="BC22" s="103"/>
      <c r="BD22" s="103"/>
      <c r="BE22" s="103"/>
      <c r="BF22" s="103"/>
      <c r="BG22" s="103"/>
      <c r="BH22" s="103"/>
      <c r="BI22" s="103"/>
      <c r="BJ22" s="103"/>
    </row>
    <row r="23" spans="1:62" x14ac:dyDescent="0.25">
      <c r="A23" s="139" t="s">
        <v>196</v>
      </c>
      <c r="B23" s="140">
        <v>273331136.19</v>
      </c>
      <c r="C23" s="439">
        <f t="shared" si="0"/>
        <v>0</v>
      </c>
      <c r="D23" s="439">
        <v>0</v>
      </c>
      <c r="E23" s="441">
        <v>0</v>
      </c>
      <c r="F23" s="140">
        <v>273331136.19</v>
      </c>
      <c r="G23" s="140">
        <v>-263929028.27000001</v>
      </c>
      <c r="H23" s="141">
        <f t="shared" si="1"/>
        <v>-1387719.8400000036</v>
      </c>
      <c r="I23" s="441">
        <v>0</v>
      </c>
      <c r="J23" s="441">
        <v>0</v>
      </c>
      <c r="K23" s="440">
        <v>-265316748.11000001</v>
      </c>
      <c r="L23" s="140">
        <f t="shared" si="2"/>
        <v>8014388.0799999833</v>
      </c>
      <c r="M23" s="142">
        <f t="shared" si="3"/>
        <v>9402107.9199999869</v>
      </c>
      <c r="N23" s="552"/>
      <c r="O23" s="143"/>
      <c r="P23" s="137"/>
      <c r="Q23" s="137"/>
      <c r="R23" s="137"/>
      <c r="S23" s="137"/>
      <c r="AE23" s="103"/>
      <c r="AF23" s="103"/>
      <c r="AG23" s="103"/>
      <c r="AH23" s="103"/>
      <c r="AI23" s="103"/>
      <c r="AJ23" s="103"/>
      <c r="AK23" s="103"/>
      <c r="AL23" s="103"/>
      <c r="AM23" s="103"/>
      <c r="AN23" s="103"/>
      <c r="AO23" s="103"/>
      <c r="AP23" s="103"/>
      <c r="AQ23" s="103"/>
      <c r="AR23" s="103"/>
      <c r="AS23" s="103"/>
      <c r="AT23" s="103"/>
      <c r="AU23" s="103"/>
      <c r="AV23" s="103"/>
      <c r="AW23" s="103"/>
      <c r="AX23" s="103"/>
      <c r="AY23" s="103"/>
      <c r="AZ23" s="103"/>
      <c r="BA23" s="103"/>
      <c r="BB23" s="103"/>
      <c r="BC23" s="103"/>
      <c r="BD23" s="103"/>
      <c r="BE23" s="103"/>
      <c r="BF23" s="103"/>
      <c r="BG23" s="103"/>
      <c r="BH23" s="103"/>
      <c r="BI23" s="103"/>
      <c r="BJ23" s="103"/>
    </row>
    <row r="24" spans="1:62" x14ac:dyDescent="0.25">
      <c r="A24" s="139" t="s">
        <v>861</v>
      </c>
      <c r="B24" s="140">
        <v>3741632544.73</v>
      </c>
      <c r="C24" s="439">
        <f t="shared" si="0"/>
        <v>137784153.30999994</v>
      </c>
      <c r="D24" s="442">
        <v>0</v>
      </c>
      <c r="E24" s="441">
        <v>0</v>
      </c>
      <c r="F24" s="140">
        <v>3879416698.04</v>
      </c>
      <c r="G24" s="140">
        <v>-2184244975.9200001</v>
      </c>
      <c r="H24" s="141">
        <f t="shared" si="1"/>
        <v>-216886870.79999971</v>
      </c>
      <c r="I24" s="441">
        <v>0</v>
      </c>
      <c r="J24" s="441">
        <v>0</v>
      </c>
      <c r="K24" s="440">
        <v>-2401131846.7199998</v>
      </c>
      <c r="L24" s="140">
        <f t="shared" si="2"/>
        <v>1478284851.3200002</v>
      </c>
      <c r="M24" s="142">
        <f t="shared" si="3"/>
        <v>1557387568.8099999</v>
      </c>
      <c r="N24" s="552"/>
      <c r="O24" s="143"/>
      <c r="P24" s="137"/>
      <c r="Q24" s="137"/>
      <c r="R24" s="137"/>
      <c r="S24" s="137"/>
      <c r="AE24" s="103"/>
      <c r="AF24" s="103"/>
      <c r="AG24" s="103"/>
      <c r="AH24" s="103"/>
      <c r="AI24" s="103"/>
      <c r="AJ24" s="103"/>
      <c r="AK24" s="103"/>
      <c r="AL24" s="103"/>
      <c r="AM24" s="103"/>
      <c r="AN24" s="103"/>
      <c r="AO24" s="103"/>
      <c r="AP24" s="103"/>
      <c r="AQ24" s="103"/>
      <c r="AR24" s="103"/>
      <c r="AS24" s="103"/>
      <c r="AT24" s="103"/>
      <c r="AU24" s="103"/>
      <c r="AV24" s="103"/>
      <c r="AW24" s="103"/>
      <c r="AX24" s="103"/>
      <c r="AY24" s="103"/>
      <c r="AZ24" s="103"/>
      <c r="BA24" s="103"/>
      <c r="BB24" s="103"/>
      <c r="BC24" s="103"/>
      <c r="BD24" s="103"/>
      <c r="BE24" s="103"/>
      <c r="BF24" s="103"/>
      <c r="BG24" s="103"/>
      <c r="BH24" s="103"/>
      <c r="BI24" s="103"/>
      <c r="BJ24" s="103"/>
    </row>
    <row r="25" spans="1:62" x14ac:dyDescent="0.25">
      <c r="A25" s="139" t="s">
        <v>862</v>
      </c>
      <c r="B25" s="140">
        <v>22089339004.490002</v>
      </c>
      <c r="C25" s="439">
        <f t="shared" si="0"/>
        <v>2647633278.4599991</v>
      </c>
      <c r="D25" s="442">
        <v>0</v>
      </c>
      <c r="E25" s="441">
        <v>0</v>
      </c>
      <c r="F25" s="140">
        <v>24736972282.950001</v>
      </c>
      <c r="G25" s="140">
        <v>-14979251852.370001</v>
      </c>
      <c r="H25" s="141">
        <f t="shared" si="1"/>
        <v>-830709097.19999886</v>
      </c>
      <c r="I25" s="441">
        <v>0</v>
      </c>
      <c r="J25" s="441">
        <v>0</v>
      </c>
      <c r="K25" s="440">
        <v>-15809960949.57</v>
      </c>
      <c r="L25" s="140">
        <f t="shared" si="2"/>
        <v>8927011333.3800011</v>
      </c>
      <c r="M25" s="142">
        <f t="shared" si="3"/>
        <v>7110087152.1200008</v>
      </c>
      <c r="N25" s="552"/>
      <c r="O25" s="143"/>
      <c r="P25" s="137"/>
      <c r="Q25" s="137"/>
      <c r="R25" s="137"/>
      <c r="S25" s="137"/>
      <c r="AE25" s="103"/>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c r="BB25" s="103"/>
      <c r="BC25" s="103"/>
      <c r="BD25" s="103"/>
      <c r="BE25" s="103"/>
      <c r="BF25" s="103"/>
      <c r="BG25" s="103"/>
      <c r="BH25" s="103"/>
      <c r="BI25" s="103"/>
      <c r="BJ25" s="103"/>
    </row>
    <row r="26" spans="1:62" x14ac:dyDescent="0.25">
      <c r="A26" s="139" t="s">
        <v>194</v>
      </c>
      <c r="B26" s="140">
        <v>4494925082.8500004</v>
      </c>
      <c r="C26" s="439">
        <f t="shared" si="0"/>
        <v>292692837.10374916</v>
      </c>
      <c r="D26" s="442">
        <v>6164772.7237499999</v>
      </c>
      <c r="E26" s="441">
        <v>0</v>
      </c>
      <c r="F26" s="140">
        <v>4781453147.2299995</v>
      </c>
      <c r="G26" s="140">
        <v>-3428087541.7199998</v>
      </c>
      <c r="H26" s="141">
        <f t="shared" si="1"/>
        <v>-284277294.14625007</v>
      </c>
      <c r="I26" s="141">
        <v>-1789772.7262500001</v>
      </c>
      <c r="J26" s="441">
        <v>0</v>
      </c>
      <c r="K26" s="440">
        <v>-3710575063.1399999</v>
      </c>
      <c r="L26" s="140">
        <f t="shared" si="2"/>
        <v>1070878084.0899997</v>
      </c>
      <c r="M26" s="142">
        <f t="shared" si="3"/>
        <v>1066837541.1300006</v>
      </c>
      <c r="N26" s="552"/>
      <c r="O26" s="143"/>
      <c r="P26" s="137"/>
      <c r="Q26" s="137"/>
      <c r="R26" s="137"/>
      <c r="S26" s="137"/>
      <c r="AE26" s="103"/>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c r="BC26" s="103"/>
      <c r="BD26" s="103"/>
      <c r="BE26" s="103"/>
      <c r="BF26" s="103"/>
      <c r="BG26" s="103"/>
      <c r="BH26" s="103"/>
      <c r="BI26" s="103"/>
      <c r="BJ26" s="103"/>
    </row>
    <row r="27" spans="1:62" x14ac:dyDescent="0.25">
      <c r="A27" s="94" t="s">
        <v>262</v>
      </c>
      <c r="B27" s="95">
        <f>SUM(B17:B26)</f>
        <v>72271453509.140015</v>
      </c>
      <c r="C27" s="95">
        <f>SUM(C17:C26)</f>
        <v>5216936509.859746</v>
      </c>
      <c r="D27" s="95">
        <f t="shared" ref="D27:M27" si="4">SUM(D17:D26)</f>
        <v>4118122262.6797504</v>
      </c>
      <c r="E27" s="95">
        <f>SUM(E17:E26)</f>
        <v>0</v>
      </c>
      <c r="F27" s="95">
        <f>SUM(F17:F26)</f>
        <v>73370267756.320007</v>
      </c>
      <c r="G27" s="95">
        <f>SUM(G17:G26)</f>
        <v>-36727137735.380424</v>
      </c>
      <c r="H27" s="95">
        <f t="shared" si="4"/>
        <v>-2905986277.1698251</v>
      </c>
      <c r="I27" s="95">
        <f t="shared" si="4"/>
        <v>-157524908.71025002</v>
      </c>
      <c r="J27" s="95">
        <f t="shared" si="4"/>
        <v>0</v>
      </c>
      <c r="K27" s="95">
        <f t="shared" si="4"/>
        <v>-39475599103.839996</v>
      </c>
      <c r="L27" s="95">
        <f>SUM(L17:L26)</f>
        <v>33894668652.480003</v>
      </c>
      <c r="M27" s="95">
        <f t="shared" si="4"/>
        <v>35544315773.759575</v>
      </c>
      <c r="N27" s="137"/>
      <c r="O27" s="143"/>
      <c r="P27" s="137"/>
      <c r="Q27" s="137"/>
      <c r="R27" s="137"/>
      <c r="S27" s="137"/>
      <c r="AE27" s="103"/>
      <c r="AF27" s="103"/>
      <c r="AG27" s="103"/>
      <c r="AH27" s="103"/>
      <c r="AI27" s="103"/>
      <c r="AJ27" s="103"/>
      <c r="AK27" s="103"/>
      <c r="AL27" s="103"/>
      <c r="AM27" s="103"/>
      <c r="AN27" s="103"/>
      <c r="AO27" s="103"/>
      <c r="AP27" s="103"/>
      <c r="AQ27" s="103"/>
      <c r="AR27" s="103"/>
      <c r="AS27" s="103"/>
      <c r="AT27" s="103"/>
      <c r="AU27" s="103"/>
      <c r="AV27" s="103"/>
      <c r="AW27" s="103"/>
      <c r="AX27" s="103"/>
      <c r="AY27" s="103"/>
      <c r="AZ27" s="103"/>
      <c r="BA27" s="103"/>
      <c r="BB27" s="103"/>
      <c r="BC27" s="103"/>
      <c r="BD27" s="103"/>
      <c r="BE27" s="103"/>
      <c r="BF27" s="103"/>
      <c r="BG27" s="103"/>
      <c r="BH27" s="103"/>
      <c r="BI27" s="103"/>
      <c r="BJ27" s="103"/>
    </row>
    <row r="28" spans="1:62" x14ac:dyDescent="0.25">
      <c r="F28" s="407"/>
      <c r="O28" s="143"/>
    </row>
    <row r="29" spans="1:62" ht="36.75" customHeight="1" x14ac:dyDescent="0.25">
      <c r="A29" s="660" t="s">
        <v>1016</v>
      </c>
      <c r="B29" s="660"/>
      <c r="C29" s="660"/>
      <c r="D29" s="660"/>
      <c r="E29" s="660"/>
      <c r="F29" s="660"/>
      <c r="G29" s="660"/>
      <c r="H29" s="660"/>
      <c r="I29" s="660"/>
      <c r="J29" s="660"/>
      <c r="K29" s="660"/>
      <c r="L29" s="660"/>
      <c r="M29" s="549"/>
      <c r="O29" s="143"/>
    </row>
    <row r="30" spans="1:62" x14ac:dyDescent="0.25">
      <c r="A30" s="660" t="s">
        <v>1157</v>
      </c>
      <c r="B30" s="660"/>
      <c r="C30" s="660"/>
      <c r="D30" s="660"/>
      <c r="E30" s="660"/>
      <c r="F30" s="660"/>
      <c r="G30" s="660"/>
      <c r="H30" s="660"/>
      <c r="I30" s="660"/>
      <c r="J30" s="660"/>
      <c r="K30" s="660"/>
      <c r="L30" s="660"/>
      <c r="O30" s="143"/>
    </row>
    <row r="31" spans="1:62" x14ac:dyDescent="0.25">
      <c r="A31" s="660"/>
      <c r="B31" s="660"/>
      <c r="C31" s="660"/>
      <c r="D31" s="660"/>
      <c r="E31" s="660"/>
      <c r="F31" s="660"/>
      <c r="G31" s="660"/>
      <c r="H31" s="660"/>
      <c r="I31" s="660"/>
      <c r="J31" s="660"/>
      <c r="K31" s="660"/>
      <c r="L31" s="660"/>
      <c r="O31" s="143"/>
    </row>
    <row r="32" spans="1:62" x14ac:dyDescent="0.25">
      <c r="A32" s="660"/>
      <c r="B32" s="660"/>
      <c r="C32" s="660"/>
      <c r="D32" s="660"/>
      <c r="E32" s="660"/>
      <c r="F32" s="660"/>
      <c r="G32" s="660"/>
      <c r="H32" s="660"/>
      <c r="I32" s="660"/>
      <c r="J32" s="660"/>
      <c r="K32" s="660"/>
      <c r="L32" s="660"/>
      <c r="O32" s="143"/>
    </row>
    <row r="33" spans="12:12" x14ac:dyDescent="0.25">
      <c r="L33" s="549"/>
    </row>
  </sheetData>
  <mergeCells count="3">
    <mergeCell ref="A12:M12"/>
    <mergeCell ref="A29:L29"/>
    <mergeCell ref="A30:L32"/>
  </mergeCells>
  <hyperlinks>
    <hyperlink ref="L1" location="BG!A1" display="BG" xr:uid="{00000000-0004-0000-0D00-000000000000}"/>
  </hyperlinks>
  <printOptions horizontalCentered="1"/>
  <pageMargins left="0.70866141732283472" right="0.70866141732283472" top="0.74803149606299213" bottom="0.74803149606299213" header="0.31496062992125984" footer="0.31496062992125984"/>
  <pageSetup paperSize="9" scale="68" orientation="landscape" r:id="rId1"/>
  <colBreaks count="1" manualBreakCount="1">
    <brk id="13"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Hoja15">
    <tabColor rgb="FFFFFF00"/>
    <pageSetUpPr fitToPage="1"/>
  </sheetPr>
  <dimension ref="A1:IV23"/>
  <sheetViews>
    <sheetView showGridLines="0" zoomScaleNormal="100" zoomScaleSheetLayoutView="90" workbookViewId="0">
      <selection activeCell="B27" sqref="B27"/>
    </sheetView>
  </sheetViews>
  <sheetFormatPr baseColWidth="10" defaultRowHeight="15" x14ac:dyDescent="0.25"/>
  <cols>
    <col min="1" max="1" width="34.140625" customWidth="1"/>
    <col min="2" max="3" width="22.7109375" customWidth="1"/>
  </cols>
  <sheetData>
    <row r="1" spans="1:256" x14ac:dyDescent="0.25">
      <c r="A1" t="str">
        <f>Indice!C1</f>
        <v>SALLUSTRO Y CIA. S.A.</v>
      </c>
      <c r="C1" s="121" t="s">
        <v>117</v>
      </c>
    </row>
    <row r="4" spans="1:256" x14ac:dyDescent="0.25">
      <c r="A4" s="239" t="s">
        <v>269</v>
      </c>
      <c r="B4" s="239"/>
      <c r="C4" s="239"/>
      <c r="D4" s="239"/>
      <c r="E4" s="623"/>
      <c r="F4" s="623"/>
      <c r="G4" s="623"/>
      <c r="H4" s="623"/>
      <c r="I4" s="623"/>
      <c r="J4" s="623"/>
      <c r="K4" s="623"/>
      <c r="L4" s="623"/>
      <c r="M4" s="623"/>
      <c r="N4" s="623"/>
      <c r="O4" s="623"/>
      <c r="P4" s="623"/>
      <c r="Q4" s="623"/>
      <c r="R4" s="623"/>
      <c r="S4" s="623"/>
      <c r="T4" s="623"/>
      <c r="U4" s="623"/>
      <c r="V4" s="623"/>
      <c r="W4" s="623"/>
      <c r="X4" s="623"/>
      <c r="Y4" s="623"/>
      <c r="Z4" s="623"/>
      <c r="AA4" s="623"/>
      <c r="AB4" s="623"/>
      <c r="AC4" s="623"/>
      <c r="AD4" s="623"/>
      <c r="AE4" s="623"/>
      <c r="AF4" s="623"/>
      <c r="AG4" s="623"/>
      <c r="AH4" s="623"/>
      <c r="AI4" s="623"/>
      <c r="AJ4" s="623"/>
      <c r="AK4" s="623"/>
      <c r="AL4" s="623"/>
      <c r="AM4" s="623"/>
      <c r="AN4" s="623"/>
      <c r="AO4" s="623"/>
      <c r="AP4" s="623"/>
      <c r="AQ4" s="623"/>
      <c r="AR4" s="623"/>
      <c r="AS4" s="623"/>
      <c r="AT4" s="623"/>
      <c r="AU4" s="623"/>
      <c r="AV4" s="623"/>
      <c r="AW4" s="623"/>
      <c r="AX4" s="623"/>
      <c r="AY4" s="623"/>
      <c r="AZ4" s="623"/>
      <c r="BA4" s="623"/>
      <c r="BB4" s="623"/>
      <c r="BC4" s="623"/>
      <c r="BD4" s="623"/>
      <c r="BE4" s="623"/>
      <c r="BF4" s="623"/>
      <c r="BG4" s="623"/>
      <c r="BH4" s="623"/>
      <c r="BI4" s="623"/>
      <c r="BJ4" s="623"/>
      <c r="BK4" s="623"/>
      <c r="BL4" s="623"/>
      <c r="BM4" s="623"/>
      <c r="BN4" s="623"/>
      <c r="BO4" s="623"/>
      <c r="BP4" s="623"/>
      <c r="BQ4" s="623"/>
      <c r="BR4" s="623"/>
      <c r="BS4" s="623"/>
      <c r="BT4" s="623"/>
      <c r="BU4" s="623"/>
      <c r="BV4" s="623"/>
      <c r="BW4" s="623"/>
      <c r="BX4" s="623"/>
      <c r="BY4" s="623"/>
      <c r="BZ4" s="623"/>
      <c r="CA4" s="623"/>
      <c r="CB4" s="623"/>
      <c r="CC4" s="623"/>
      <c r="CD4" s="623"/>
      <c r="CE4" s="623"/>
      <c r="CF4" s="623"/>
      <c r="CG4" s="623"/>
      <c r="CH4" s="623"/>
      <c r="CI4" s="623"/>
      <c r="CJ4" s="623"/>
      <c r="CK4" s="623"/>
      <c r="CL4" s="623"/>
      <c r="CM4" s="623"/>
      <c r="CN4" s="623"/>
      <c r="CO4" s="623"/>
      <c r="CP4" s="623"/>
      <c r="CQ4" s="623"/>
      <c r="CR4" s="623"/>
      <c r="CS4" s="623"/>
      <c r="CT4" s="623"/>
      <c r="CU4" s="623"/>
      <c r="CV4" s="623"/>
      <c r="CW4" s="623"/>
      <c r="CX4" s="623"/>
      <c r="CY4" s="623"/>
      <c r="CZ4" s="623"/>
      <c r="DA4" s="623"/>
      <c r="DB4" s="623"/>
      <c r="DC4" s="623"/>
      <c r="DD4" s="623"/>
      <c r="DE4" s="623"/>
      <c r="DF4" s="623"/>
      <c r="DG4" s="623"/>
      <c r="DH4" s="623"/>
      <c r="DI4" s="623"/>
      <c r="DJ4" s="623"/>
      <c r="DK4" s="623"/>
      <c r="DL4" s="623"/>
      <c r="DM4" s="623"/>
      <c r="DN4" s="623"/>
      <c r="DO4" s="623"/>
      <c r="DP4" s="623"/>
      <c r="DQ4" s="623"/>
      <c r="DR4" s="623"/>
      <c r="DS4" s="623"/>
      <c r="DT4" s="623"/>
      <c r="DU4" s="623"/>
      <c r="DV4" s="623"/>
      <c r="DW4" s="623"/>
      <c r="DX4" s="623"/>
      <c r="DY4" s="623"/>
      <c r="DZ4" s="623"/>
      <c r="EA4" s="623"/>
      <c r="EB4" s="623"/>
      <c r="EC4" s="623"/>
      <c r="ED4" s="623"/>
      <c r="EE4" s="623"/>
      <c r="EF4" s="623"/>
      <c r="EG4" s="623"/>
      <c r="EH4" s="623"/>
      <c r="EI4" s="623"/>
      <c r="EJ4" s="623"/>
      <c r="EK4" s="623"/>
      <c r="EL4" s="623"/>
      <c r="EM4" s="623"/>
      <c r="EN4" s="623"/>
      <c r="EO4" s="623"/>
      <c r="EP4" s="623"/>
      <c r="EQ4" s="623"/>
      <c r="ER4" s="623"/>
      <c r="ES4" s="623"/>
      <c r="ET4" s="623"/>
      <c r="EU4" s="623"/>
      <c r="EV4" s="623"/>
      <c r="EW4" s="623"/>
      <c r="EX4" s="623"/>
      <c r="EY4" s="623"/>
      <c r="EZ4" s="623"/>
      <c r="FA4" s="623"/>
      <c r="FB4" s="623"/>
      <c r="FC4" s="623"/>
      <c r="FD4" s="623"/>
      <c r="FE4" s="623"/>
      <c r="FF4" s="623"/>
      <c r="FG4" s="623"/>
      <c r="FH4" s="623"/>
      <c r="FI4" s="623"/>
      <c r="FJ4" s="623"/>
      <c r="FK4" s="623"/>
      <c r="FL4" s="623"/>
      <c r="FM4" s="623"/>
      <c r="FN4" s="623"/>
      <c r="FO4" s="623"/>
      <c r="FP4" s="623"/>
      <c r="FQ4" s="623"/>
      <c r="FR4" s="623"/>
      <c r="FS4" s="623"/>
      <c r="FT4" s="623"/>
      <c r="FU4" s="623"/>
      <c r="FV4" s="623"/>
      <c r="FW4" s="623"/>
      <c r="FX4" s="623"/>
      <c r="FY4" s="623"/>
      <c r="FZ4" s="623"/>
      <c r="GA4" s="623"/>
      <c r="GB4" s="623"/>
      <c r="GC4" s="623"/>
      <c r="GD4" s="623"/>
      <c r="GE4" s="623"/>
      <c r="GF4" s="623"/>
      <c r="GG4" s="623"/>
      <c r="GH4" s="623"/>
      <c r="GI4" s="623"/>
      <c r="GJ4" s="623"/>
      <c r="GK4" s="623"/>
      <c r="GL4" s="623"/>
      <c r="GM4" s="623"/>
      <c r="GN4" s="623"/>
      <c r="GO4" s="623"/>
      <c r="GP4" s="623"/>
      <c r="GQ4" s="623"/>
      <c r="GR4" s="623"/>
      <c r="GS4" s="623"/>
      <c r="GT4" s="623"/>
      <c r="GU4" s="623"/>
      <c r="GV4" s="623"/>
      <c r="GW4" s="623"/>
      <c r="GX4" s="623"/>
      <c r="GY4" s="623"/>
      <c r="GZ4" s="623"/>
      <c r="HA4" s="623"/>
      <c r="HB4" s="623"/>
      <c r="HC4" s="623"/>
      <c r="HD4" s="623"/>
      <c r="HE4" s="623"/>
      <c r="HF4" s="623"/>
      <c r="HG4" s="623"/>
      <c r="HH4" s="623"/>
      <c r="HI4" s="623"/>
      <c r="HJ4" s="623"/>
      <c r="HK4" s="623"/>
      <c r="HL4" s="623"/>
      <c r="HM4" s="623"/>
      <c r="HN4" s="623"/>
      <c r="HO4" s="623"/>
      <c r="HP4" s="623"/>
      <c r="HQ4" s="623"/>
      <c r="HR4" s="623"/>
      <c r="HS4" s="623"/>
      <c r="HT4" s="623"/>
      <c r="HU4" s="623"/>
      <c r="HV4" s="623"/>
      <c r="HW4" s="623"/>
      <c r="HX4" s="623"/>
      <c r="HY4" s="623"/>
      <c r="HZ4" s="623"/>
      <c r="IA4" s="623"/>
      <c r="IB4" s="623"/>
      <c r="IC4" s="623"/>
      <c r="ID4" s="623"/>
      <c r="IE4" s="623"/>
      <c r="IF4" s="623"/>
      <c r="IG4" s="623"/>
      <c r="IH4" s="623"/>
      <c r="II4" s="623"/>
      <c r="IJ4" s="623"/>
      <c r="IK4" s="623"/>
      <c r="IL4" s="623"/>
      <c r="IM4" s="623"/>
      <c r="IN4" s="623"/>
      <c r="IO4" s="623"/>
      <c r="IP4" s="623"/>
      <c r="IQ4" s="623"/>
      <c r="IR4" s="623"/>
      <c r="IS4" s="623"/>
      <c r="IT4" s="623"/>
      <c r="IU4" s="623"/>
      <c r="IV4" s="623"/>
    </row>
    <row r="5" spans="1:256" x14ac:dyDescent="0.25">
      <c r="B5" s="652" t="s">
        <v>258</v>
      </c>
      <c r="C5" s="652"/>
    </row>
    <row r="6" spans="1:256" ht="15.75" customHeight="1" x14ac:dyDescent="0.25">
      <c r="A6" s="112"/>
      <c r="B6" s="306">
        <f>IFERROR(IF(Indice!B6="","2XX2",YEAR(Indice!B6)),"2XX2")</f>
        <v>2024</v>
      </c>
      <c r="C6" s="306">
        <f>IFERROR(YEAR(Indice!B6-366),"2XX1")</f>
        <v>2023</v>
      </c>
      <c r="D6" s="112"/>
    </row>
    <row r="7" spans="1:256" ht="15" customHeight="1" x14ac:dyDescent="0.25">
      <c r="A7" s="113" t="s">
        <v>109</v>
      </c>
      <c r="B7" s="11"/>
      <c r="C7" s="11"/>
      <c r="D7" s="11"/>
    </row>
    <row r="8" spans="1:256" ht="15" customHeight="1" x14ac:dyDescent="0.25">
      <c r="A8" s="42" t="s">
        <v>112</v>
      </c>
      <c r="B8" s="42"/>
      <c r="C8" s="42"/>
      <c r="D8" s="42"/>
      <c r="E8" s="619"/>
      <c r="F8" s="619"/>
      <c r="G8" s="619"/>
      <c r="H8" s="619"/>
      <c r="I8" s="619"/>
      <c r="J8" s="619"/>
      <c r="K8" s="619"/>
      <c r="L8" s="619"/>
      <c r="M8" s="619"/>
      <c r="N8" s="619"/>
      <c r="O8" s="619"/>
      <c r="P8" s="619"/>
      <c r="Q8" s="619"/>
      <c r="R8" s="619"/>
      <c r="S8" s="619"/>
      <c r="T8" s="619"/>
      <c r="U8" s="619"/>
      <c r="V8" s="619"/>
      <c r="W8" s="619"/>
      <c r="X8" s="619"/>
      <c r="Y8" s="619"/>
      <c r="Z8" s="619"/>
      <c r="AA8" s="619"/>
      <c r="AB8" s="619"/>
      <c r="AC8" s="619"/>
      <c r="AD8" s="619"/>
      <c r="AE8" s="619"/>
      <c r="AF8" s="619"/>
      <c r="AG8" s="619"/>
      <c r="AH8" s="619"/>
      <c r="AI8" s="619"/>
      <c r="AJ8" s="619"/>
      <c r="AK8" s="619"/>
      <c r="AL8" s="619"/>
      <c r="AM8" s="619"/>
      <c r="AN8" s="619"/>
      <c r="AO8" s="619"/>
      <c r="AP8" s="619"/>
      <c r="AQ8" s="619"/>
      <c r="AR8" s="619"/>
      <c r="AS8" s="619"/>
      <c r="AT8" s="619"/>
      <c r="AU8" s="619"/>
      <c r="AV8" s="619"/>
      <c r="AW8" s="619"/>
      <c r="AX8" s="619"/>
      <c r="AY8" s="619"/>
      <c r="AZ8" s="619"/>
      <c r="BA8" s="619"/>
      <c r="BB8" s="619"/>
      <c r="BC8" s="619"/>
      <c r="BD8" s="619"/>
      <c r="BE8" s="619"/>
      <c r="BF8" s="619"/>
      <c r="BG8" s="619"/>
      <c r="BH8" s="619"/>
      <c r="BI8" s="619"/>
      <c r="BJ8" s="619"/>
      <c r="BK8" s="619"/>
      <c r="BL8" s="619"/>
      <c r="BM8" s="619"/>
      <c r="BN8" s="619"/>
      <c r="BO8" s="619"/>
      <c r="BP8" s="619"/>
      <c r="BQ8" s="619"/>
      <c r="BR8" s="619"/>
      <c r="BS8" s="619"/>
      <c r="BT8" s="619"/>
      <c r="BU8" s="619"/>
      <c r="BV8" s="619"/>
      <c r="BW8" s="619"/>
      <c r="BX8" s="619"/>
      <c r="BY8" s="619"/>
      <c r="BZ8" s="619"/>
      <c r="CA8" s="619"/>
      <c r="CB8" s="619"/>
      <c r="CC8" s="619"/>
      <c r="CD8" s="619"/>
      <c r="CE8" s="619"/>
      <c r="CF8" s="619"/>
      <c r="CG8" s="619"/>
      <c r="CH8" s="619"/>
      <c r="CI8" s="619"/>
      <c r="CJ8" s="619"/>
      <c r="CK8" s="619"/>
      <c r="CL8" s="619"/>
      <c r="CM8" s="619"/>
      <c r="CN8" s="619"/>
      <c r="CO8" s="619"/>
      <c r="CP8" s="619"/>
      <c r="CQ8" s="619"/>
      <c r="CR8" s="619"/>
      <c r="CS8" s="619"/>
      <c r="CT8" s="619"/>
      <c r="CU8" s="619"/>
      <c r="CV8" s="619"/>
      <c r="CW8" s="619"/>
      <c r="CX8" s="619"/>
      <c r="CY8" s="619"/>
      <c r="CZ8" s="619"/>
      <c r="DA8" s="619"/>
      <c r="DB8" s="619"/>
      <c r="DC8" s="619"/>
      <c r="DD8" s="619"/>
      <c r="DE8" s="619"/>
      <c r="DF8" s="619"/>
      <c r="DG8" s="619"/>
      <c r="DH8" s="619"/>
      <c r="DI8" s="619"/>
      <c r="DJ8" s="619"/>
      <c r="DK8" s="619"/>
      <c r="DL8" s="619"/>
      <c r="DM8" s="619"/>
      <c r="DN8" s="619"/>
      <c r="DO8" s="619"/>
      <c r="DP8" s="619"/>
      <c r="DQ8" s="619"/>
      <c r="DR8" s="619"/>
      <c r="DS8" s="619"/>
      <c r="DT8" s="619"/>
      <c r="DU8" s="619"/>
      <c r="DV8" s="619"/>
      <c r="DW8" s="619"/>
      <c r="DX8" s="619"/>
      <c r="DY8" s="619"/>
      <c r="DZ8" s="619"/>
      <c r="EA8" s="619"/>
      <c r="EB8" s="619"/>
      <c r="EC8" s="619"/>
      <c r="ED8" s="619"/>
      <c r="EE8" s="619"/>
      <c r="EF8" s="619"/>
      <c r="EG8" s="619"/>
      <c r="EH8" s="619"/>
      <c r="EI8" s="619"/>
      <c r="EJ8" s="619"/>
      <c r="EK8" s="619"/>
      <c r="EL8" s="619"/>
      <c r="EM8" s="619"/>
      <c r="EN8" s="619"/>
      <c r="EO8" s="619"/>
      <c r="EP8" s="619"/>
      <c r="EQ8" s="619"/>
      <c r="ER8" s="619"/>
      <c r="ES8" s="619"/>
      <c r="ET8" s="619"/>
      <c r="EU8" s="619"/>
      <c r="EV8" s="619"/>
      <c r="EW8" s="619"/>
      <c r="EX8" s="619"/>
      <c r="EY8" s="619"/>
      <c r="EZ8" s="619"/>
      <c r="FA8" s="619"/>
      <c r="FB8" s="619"/>
      <c r="FC8" s="619"/>
      <c r="FD8" s="619"/>
      <c r="FE8" s="619"/>
      <c r="FF8" s="619"/>
      <c r="FG8" s="619"/>
      <c r="FH8" s="619"/>
      <c r="FI8" s="619"/>
      <c r="FJ8" s="619"/>
      <c r="FK8" s="619"/>
      <c r="FL8" s="619"/>
      <c r="FM8" s="619"/>
      <c r="FN8" s="619"/>
      <c r="FO8" s="619"/>
      <c r="FP8" s="619"/>
      <c r="FQ8" s="619"/>
      <c r="FR8" s="619"/>
      <c r="FS8" s="619"/>
      <c r="FT8" s="619"/>
      <c r="FU8" s="619"/>
      <c r="FV8" s="619"/>
      <c r="FW8" s="619"/>
      <c r="FX8" s="619"/>
      <c r="FY8" s="619"/>
      <c r="FZ8" s="619"/>
      <c r="GA8" s="619"/>
      <c r="GB8" s="619"/>
      <c r="GC8" s="619"/>
      <c r="GD8" s="619"/>
      <c r="GE8" s="619"/>
      <c r="GF8" s="619"/>
      <c r="GG8" s="619"/>
      <c r="GH8" s="619"/>
      <c r="GI8" s="619"/>
      <c r="GJ8" s="619"/>
      <c r="GK8" s="619"/>
      <c r="GL8" s="619"/>
      <c r="GM8" s="619"/>
      <c r="GN8" s="619"/>
      <c r="GO8" s="619"/>
      <c r="GP8" s="619"/>
      <c r="GQ8" s="619"/>
      <c r="GR8" s="619"/>
      <c r="GS8" s="619"/>
      <c r="GT8" s="619"/>
      <c r="GU8" s="619"/>
      <c r="GV8" s="619"/>
      <c r="GW8" s="619"/>
      <c r="GX8" s="619"/>
      <c r="GY8" s="619"/>
      <c r="GZ8" s="619"/>
      <c r="HA8" s="619"/>
      <c r="HB8" s="619"/>
      <c r="HC8" s="619"/>
      <c r="HD8" s="619"/>
      <c r="HE8" s="619"/>
      <c r="HF8" s="619"/>
      <c r="HG8" s="619"/>
      <c r="HH8" s="619"/>
      <c r="HI8" s="619"/>
      <c r="HJ8" s="619"/>
      <c r="HK8" s="619"/>
      <c r="HL8" s="619"/>
      <c r="HM8" s="619"/>
      <c r="HN8" s="619"/>
      <c r="HO8" s="619"/>
      <c r="HP8" s="619"/>
      <c r="HQ8" s="619"/>
      <c r="HR8" s="619"/>
      <c r="HS8" s="619"/>
      <c r="HT8" s="619"/>
      <c r="HU8" s="619"/>
      <c r="HV8" s="619"/>
      <c r="HW8" s="619"/>
      <c r="HX8" s="619"/>
      <c r="HY8" s="619"/>
      <c r="HZ8" s="619"/>
      <c r="IA8" s="619"/>
      <c r="IB8" s="619"/>
      <c r="IC8" s="619"/>
      <c r="ID8" s="619"/>
      <c r="IE8" s="619"/>
      <c r="IF8" s="619"/>
      <c r="IG8" s="619"/>
      <c r="IH8" s="619"/>
      <c r="II8" s="619"/>
      <c r="IJ8" s="619"/>
      <c r="IK8" s="619"/>
      <c r="IL8" s="619"/>
      <c r="IM8" s="619"/>
      <c r="IN8" s="619"/>
      <c r="IO8" s="619"/>
      <c r="IP8" s="619"/>
      <c r="IQ8" s="619"/>
      <c r="IR8" s="619"/>
      <c r="IS8" s="619"/>
      <c r="IT8" s="619"/>
      <c r="IU8" s="619"/>
      <c r="IV8" s="619"/>
    </row>
    <row r="9" spans="1:256" ht="15" customHeight="1" x14ac:dyDescent="0.25">
      <c r="A9" s="114" t="s">
        <v>2</v>
      </c>
      <c r="B9" s="199">
        <f>B8</f>
        <v>0</v>
      </c>
      <c r="C9" s="199">
        <f>C8</f>
        <v>0</v>
      </c>
      <c r="D9" s="42"/>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c r="GN9" s="11"/>
      <c r="GO9" s="11"/>
      <c r="GP9" s="11"/>
      <c r="GQ9" s="11"/>
      <c r="GR9" s="11"/>
      <c r="GS9" s="11"/>
      <c r="GT9" s="11"/>
      <c r="GU9" s="11"/>
      <c r="GV9" s="11"/>
      <c r="GW9" s="11"/>
      <c r="GX9" s="11"/>
      <c r="GY9" s="11"/>
      <c r="GZ9" s="11"/>
      <c r="HA9" s="11"/>
      <c r="HB9" s="11"/>
      <c r="HC9" s="11"/>
      <c r="HD9" s="11"/>
      <c r="HE9" s="11"/>
      <c r="HF9" s="11"/>
      <c r="HG9" s="11"/>
      <c r="HH9" s="11"/>
      <c r="HI9" s="11"/>
      <c r="HJ9" s="11"/>
      <c r="HK9" s="11"/>
      <c r="HL9" s="11"/>
      <c r="HM9" s="11"/>
      <c r="HN9" s="11"/>
      <c r="HO9" s="11"/>
      <c r="HP9" s="11"/>
      <c r="HQ9" s="11"/>
      <c r="HR9" s="11"/>
      <c r="HS9" s="11"/>
      <c r="HT9" s="11"/>
      <c r="HU9" s="11"/>
      <c r="HV9" s="11"/>
      <c r="HW9" s="11"/>
      <c r="HX9" s="11"/>
      <c r="HY9" s="11"/>
      <c r="HZ9" s="11"/>
      <c r="IA9" s="11"/>
      <c r="IB9" s="11"/>
      <c r="IC9" s="11"/>
      <c r="ID9" s="11"/>
      <c r="IE9" s="11"/>
      <c r="IF9" s="11"/>
      <c r="IG9" s="11"/>
      <c r="IH9" s="11"/>
      <c r="II9" s="11"/>
      <c r="IJ9" s="11"/>
      <c r="IK9" s="11"/>
      <c r="IL9" s="11"/>
      <c r="IM9" s="11"/>
      <c r="IN9" s="11"/>
      <c r="IO9" s="11"/>
      <c r="IP9" s="11"/>
      <c r="IQ9" s="11"/>
      <c r="IR9" s="11"/>
      <c r="IS9" s="11"/>
      <c r="IT9" s="11"/>
      <c r="IU9" s="11"/>
      <c r="IV9" s="11"/>
    </row>
    <row r="10" spans="1:256" ht="15" customHeight="1" x14ac:dyDescent="0.25">
      <c r="A10" s="42"/>
      <c r="B10" s="42"/>
      <c r="C10" s="42"/>
      <c r="D10" s="42"/>
      <c r="E10" s="619"/>
      <c r="F10" s="619"/>
      <c r="G10" s="619"/>
      <c r="H10" s="619"/>
      <c r="I10" s="619"/>
      <c r="J10" s="619"/>
      <c r="K10" s="619"/>
      <c r="L10" s="619"/>
      <c r="M10" s="619"/>
      <c r="N10" s="619"/>
      <c r="O10" s="619"/>
      <c r="P10" s="619"/>
      <c r="Q10" s="619"/>
      <c r="R10" s="619"/>
      <c r="S10" s="619"/>
      <c r="T10" s="619"/>
      <c r="U10" s="619"/>
      <c r="V10" s="619"/>
      <c r="W10" s="619"/>
      <c r="X10" s="619"/>
      <c r="Y10" s="619"/>
      <c r="Z10" s="619"/>
      <c r="AA10" s="619"/>
      <c r="AB10" s="619"/>
      <c r="AC10" s="619"/>
      <c r="AD10" s="619"/>
      <c r="AE10" s="619"/>
      <c r="AF10" s="619"/>
      <c r="AG10" s="619"/>
      <c r="AH10" s="619"/>
      <c r="AI10" s="619"/>
      <c r="AJ10" s="619"/>
      <c r="AK10" s="619"/>
      <c r="AL10" s="619"/>
      <c r="AM10" s="619"/>
      <c r="AN10" s="619"/>
      <c r="AO10" s="619"/>
      <c r="AP10" s="619"/>
      <c r="AQ10" s="619"/>
      <c r="AR10" s="619"/>
      <c r="AS10" s="619"/>
      <c r="AT10" s="619"/>
      <c r="AU10" s="619"/>
      <c r="AV10" s="619"/>
      <c r="AW10" s="619"/>
      <c r="AX10" s="619"/>
      <c r="AY10" s="619"/>
      <c r="AZ10" s="619"/>
      <c r="BA10" s="619"/>
      <c r="BB10" s="619"/>
      <c r="BC10" s="619"/>
      <c r="BD10" s="619"/>
      <c r="BE10" s="619"/>
      <c r="BF10" s="619"/>
      <c r="BG10" s="619"/>
      <c r="BH10" s="619"/>
      <c r="BI10" s="619"/>
      <c r="BJ10" s="619"/>
      <c r="BK10" s="619"/>
      <c r="BL10" s="619"/>
      <c r="BM10" s="619"/>
      <c r="BN10" s="619"/>
      <c r="BO10" s="619"/>
      <c r="BP10" s="619"/>
      <c r="BQ10" s="619"/>
      <c r="BR10" s="619"/>
      <c r="BS10" s="619"/>
      <c r="BT10" s="619"/>
      <c r="BU10" s="619"/>
      <c r="BV10" s="619"/>
      <c r="BW10" s="619"/>
      <c r="BX10" s="619"/>
      <c r="BY10" s="619"/>
      <c r="BZ10" s="619"/>
      <c r="CA10" s="619"/>
      <c r="CB10" s="619"/>
      <c r="CC10" s="619"/>
      <c r="CD10" s="619"/>
      <c r="CE10" s="619"/>
      <c r="CF10" s="619"/>
      <c r="CG10" s="619"/>
      <c r="CH10" s="619"/>
      <c r="CI10" s="619"/>
      <c r="CJ10" s="619"/>
      <c r="CK10" s="619"/>
      <c r="CL10" s="619"/>
      <c r="CM10" s="619"/>
      <c r="CN10" s="619"/>
      <c r="CO10" s="619"/>
      <c r="CP10" s="619"/>
      <c r="CQ10" s="619"/>
      <c r="CR10" s="619"/>
      <c r="CS10" s="619"/>
      <c r="CT10" s="619"/>
      <c r="CU10" s="619"/>
      <c r="CV10" s="619"/>
      <c r="CW10" s="619"/>
      <c r="CX10" s="619"/>
      <c r="CY10" s="619"/>
      <c r="CZ10" s="619"/>
      <c r="DA10" s="619"/>
      <c r="DB10" s="619"/>
      <c r="DC10" s="619"/>
      <c r="DD10" s="619"/>
      <c r="DE10" s="619"/>
      <c r="DF10" s="619"/>
      <c r="DG10" s="619"/>
      <c r="DH10" s="619"/>
      <c r="DI10" s="619"/>
      <c r="DJ10" s="619"/>
      <c r="DK10" s="619"/>
      <c r="DL10" s="619"/>
      <c r="DM10" s="619"/>
      <c r="DN10" s="619"/>
      <c r="DO10" s="619"/>
      <c r="DP10" s="619"/>
      <c r="DQ10" s="619"/>
      <c r="DR10" s="619"/>
      <c r="DS10" s="619"/>
      <c r="DT10" s="619"/>
      <c r="DU10" s="619"/>
      <c r="DV10" s="619"/>
      <c r="DW10" s="619"/>
      <c r="DX10" s="619"/>
      <c r="DY10" s="619"/>
      <c r="DZ10" s="619"/>
      <c r="EA10" s="619"/>
      <c r="EB10" s="619"/>
      <c r="EC10" s="619"/>
      <c r="ED10" s="619"/>
      <c r="EE10" s="619"/>
      <c r="EF10" s="619"/>
      <c r="EG10" s="619"/>
      <c r="EH10" s="619"/>
      <c r="EI10" s="619"/>
      <c r="EJ10" s="619"/>
      <c r="EK10" s="619"/>
      <c r="EL10" s="619"/>
      <c r="EM10" s="619"/>
      <c r="EN10" s="619"/>
      <c r="EO10" s="619"/>
      <c r="EP10" s="619"/>
      <c r="EQ10" s="619"/>
      <c r="ER10" s="619"/>
      <c r="ES10" s="619"/>
      <c r="ET10" s="619"/>
      <c r="EU10" s="619"/>
      <c r="EV10" s="619"/>
      <c r="EW10" s="619"/>
      <c r="EX10" s="619"/>
      <c r="EY10" s="619"/>
      <c r="EZ10" s="619"/>
      <c r="FA10" s="619"/>
      <c r="FB10" s="619"/>
      <c r="FC10" s="619"/>
      <c r="FD10" s="619"/>
      <c r="FE10" s="619"/>
      <c r="FF10" s="619"/>
      <c r="FG10" s="619"/>
      <c r="FH10" s="619"/>
      <c r="FI10" s="619"/>
      <c r="FJ10" s="619"/>
      <c r="FK10" s="619"/>
      <c r="FL10" s="619"/>
      <c r="FM10" s="619"/>
      <c r="FN10" s="619"/>
      <c r="FO10" s="619"/>
      <c r="FP10" s="619"/>
      <c r="FQ10" s="619"/>
      <c r="FR10" s="619"/>
      <c r="FS10" s="619"/>
      <c r="FT10" s="619"/>
      <c r="FU10" s="619"/>
      <c r="FV10" s="619"/>
      <c r="FW10" s="619"/>
      <c r="FX10" s="619"/>
      <c r="FY10" s="619"/>
      <c r="FZ10" s="619"/>
      <c r="GA10" s="619"/>
      <c r="GB10" s="619"/>
      <c r="GC10" s="619"/>
      <c r="GD10" s="619"/>
      <c r="GE10" s="619"/>
      <c r="GF10" s="619"/>
      <c r="GG10" s="619"/>
      <c r="GH10" s="619"/>
      <c r="GI10" s="619"/>
      <c r="GJ10" s="619"/>
      <c r="GK10" s="619"/>
      <c r="GL10" s="619"/>
      <c r="GM10" s="619"/>
      <c r="GN10" s="619"/>
      <c r="GO10" s="619"/>
      <c r="GP10" s="619"/>
      <c r="GQ10" s="619"/>
      <c r="GR10" s="619"/>
      <c r="GS10" s="619"/>
      <c r="GT10" s="619"/>
      <c r="GU10" s="619"/>
      <c r="GV10" s="619"/>
      <c r="GW10" s="619"/>
      <c r="GX10" s="619"/>
      <c r="GY10" s="619"/>
      <c r="GZ10" s="619"/>
      <c r="HA10" s="619"/>
      <c r="HB10" s="619"/>
      <c r="HC10" s="619"/>
      <c r="HD10" s="619"/>
      <c r="HE10" s="619"/>
      <c r="HF10" s="619"/>
      <c r="HG10" s="619"/>
      <c r="HH10" s="619"/>
      <c r="HI10" s="619"/>
      <c r="HJ10" s="619"/>
      <c r="HK10" s="619"/>
      <c r="HL10" s="619"/>
      <c r="HM10" s="619"/>
      <c r="HN10" s="619"/>
      <c r="HO10" s="619"/>
      <c r="HP10" s="619"/>
      <c r="HQ10" s="619"/>
      <c r="HR10" s="619"/>
      <c r="HS10" s="619"/>
      <c r="HT10" s="619"/>
      <c r="HU10" s="619"/>
      <c r="HV10" s="619"/>
      <c r="HW10" s="619"/>
      <c r="HX10" s="619"/>
      <c r="HY10" s="619"/>
      <c r="HZ10" s="619"/>
      <c r="IA10" s="619"/>
      <c r="IB10" s="619"/>
      <c r="IC10" s="619"/>
      <c r="ID10" s="619"/>
      <c r="IE10" s="619"/>
      <c r="IF10" s="619"/>
      <c r="IG10" s="619"/>
      <c r="IH10" s="619"/>
      <c r="II10" s="619"/>
      <c r="IJ10" s="619"/>
      <c r="IK10" s="619"/>
      <c r="IL10" s="619"/>
      <c r="IM10" s="619"/>
      <c r="IN10" s="619"/>
      <c r="IO10" s="619"/>
      <c r="IP10" s="619"/>
      <c r="IQ10" s="619"/>
      <c r="IR10" s="619"/>
      <c r="IS10" s="619"/>
      <c r="IT10" s="619"/>
      <c r="IU10" s="619"/>
      <c r="IV10" s="619"/>
    </row>
    <row r="11" spans="1:256" ht="15" customHeight="1" x14ac:dyDescent="0.25">
      <c r="A11" s="114" t="s">
        <v>110</v>
      </c>
      <c r="B11" s="42"/>
      <c r="C11" s="42"/>
      <c r="D11" s="42"/>
      <c r="E11" s="619"/>
      <c r="F11" s="619"/>
      <c r="G11" s="619"/>
      <c r="H11" s="619"/>
      <c r="I11" s="619"/>
      <c r="J11" s="619"/>
      <c r="K11" s="619"/>
      <c r="L11" s="619"/>
      <c r="M11" s="619"/>
      <c r="N11" s="619"/>
      <c r="O11" s="619"/>
      <c r="P11" s="619"/>
      <c r="Q11" s="619"/>
      <c r="R11" s="619"/>
      <c r="S11" s="619"/>
      <c r="T11" s="619"/>
      <c r="U11" s="619"/>
      <c r="V11" s="619"/>
      <c r="W11" s="619"/>
      <c r="X11" s="619"/>
      <c r="Y11" s="619"/>
      <c r="Z11" s="619"/>
      <c r="AA11" s="619"/>
      <c r="AB11" s="619"/>
      <c r="AC11" s="619"/>
      <c r="AD11" s="619"/>
      <c r="AE11" s="619"/>
      <c r="AF11" s="619"/>
      <c r="AG11" s="619"/>
      <c r="AH11" s="619"/>
      <c r="AI11" s="619"/>
      <c r="AJ11" s="619"/>
      <c r="AK11" s="619"/>
      <c r="AL11" s="619"/>
      <c r="AM11" s="619"/>
      <c r="AN11" s="619"/>
      <c r="AO11" s="619"/>
      <c r="AP11" s="619"/>
      <c r="AQ11" s="619"/>
      <c r="AR11" s="619"/>
      <c r="AS11" s="619"/>
      <c r="AT11" s="619"/>
      <c r="AU11" s="619"/>
      <c r="AV11" s="619"/>
      <c r="AW11" s="619"/>
      <c r="AX11" s="619"/>
      <c r="AY11" s="619"/>
      <c r="AZ11" s="619"/>
      <c r="BA11" s="619"/>
      <c r="BB11" s="619"/>
      <c r="BC11" s="619"/>
      <c r="BD11" s="619"/>
      <c r="BE11" s="619"/>
      <c r="BF11" s="619"/>
      <c r="BG11" s="619"/>
      <c r="BH11" s="619"/>
      <c r="BI11" s="619"/>
      <c r="BJ11" s="619"/>
      <c r="BK11" s="619"/>
      <c r="BL11" s="619"/>
      <c r="BM11" s="619"/>
      <c r="BN11" s="619"/>
      <c r="BO11" s="619"/>
      <c r="BP11" s="619"/>
      <c r="BQ11" s="619"/>
      <c r="BR11" s="619"/>
      <c r="BS11" s="619"/>
      <c r="BT11" s="619"/>
      <c r="BU11" s="619"/>
      <c r="BV11" s="619"/>
      <c r="BW11" s="619"/>
      <c r="BX11" s="619"/>
      <c r="BY11" s="619"/>
      <c r="BZ11" s="619"/>
      <c r="CA11" s="619"/>
      <c r="CB11" s="619"/>
      <c r="CC11" s="619"/>
      <c r="CD11" s="619"/>
      <c r="CE11" s="619"/>
      <c r="CF11" s="619"/>
      <c r="CG11" s="619"/>
      <c r="CH11" s="619"/>
      <c r="CI11" s="619"/>
      <c r="CJ11" s="619"/>
      <c r="CK11" s="619"/>
      <c r="CL11" s="619"/>
      <c r="CM11" s="619"/>
      <c r="CN11" s="619"/>
      <c r="CO11" s="619"/>
      <c r="CP11" s="619"/>
      <c r="CQ11" s="619"/>
      <c r="CR11" s="619"/>
      <c r="CS11" s="619"/>
      <c r="CT11" s="619"/>
      <c r="CU11" s="619"/>
      <c r="CV11" s="619"/>
      <c r="CW11" s="619"/>
      <c r="CX11" s="619"/>
      <c r="CY11" s="619"/>
      <c r="CZ11" s="619"/>
      <c r="DA11" s="619"/>
      <c r="DB11" s="619"/>
      <c r="DC11" s="619"/>
      <c r="DD11" s="619"/>
      <c r="DE11" s="619"/>
      <c r="DF11" s="619"/>
      <c r="DG11" s="619"/>
      <c r="DH11" s="619"/>
      <c r="DI11" s="619"/>
      <c r="DJ11" s="619"/>
      <c r="DK11" s="619"/>
      <c r="DL11" s="619"/>
      <c r="DM11" s="619"/>
      <c r="DN11" s="619"/>
      <c r="DO11" s="619"/>
      <c r="DP11" s="619"/>
      <c r="DQ11" s="619"/>
      <c r="DR11" s="619"/>
      <c r="DS11" s="619"/>
      <c r="DT11" s="619"/>
      <c r="DU11" s="619"/>
      <c r="DV11" s="619"/>
      <c r="DW11" s="619"/>
      <c r="DX11" s="619"/>
      <c r="DY11" s="619"/>
      <c r="DZ11" s="619"/>
      <c r="EA11" s="619"/>
      <c r="EB11" s="619"/>
      <c r="EC11" s="619"/>
      <c r="ED11" s="619"/>
      <c r="EE11" s="619"/>
      <c r="EF11" s="619"/>
      <c r="EG11" s="619"/>
      <c r="EH11" s="619"/>
      <c r="EI11" s="619"/>
      <c r="EJ11" s="619"/>
      <c r="EK11" s="619"/>
      <c r="EL11" s="619"/>
      <c r="EM11" s="619"/>
      <c r="EN11" s="619"/>
      <c r="EO11" s="619"/>
      <c r="EP11" s="619"/>
      <c r="EQ11" s="619"/>
      <c r="ER11" s="619"/>
      <c r="ES11" s="619"/>
      <c r="ET11" s="619"/>
      <c r="EU11" s="619"/>
      <c r="EV11" s="619"/>
      <c r="EW11" s="619"/>
      <c r="EX11" s="619"/>
      <c r="EY11" s="619"/>
      <c r="EZ11" s="619"/>
      <c r="FA11" s="619"/>
      <c r="FB11" s="619"/>
      <c r="FC11" s="619"/>
      <c r="FD11" s="619"/>
      <c r="FE11" s="619"/>
      <c r="FF11" s="619"/>
      <c r="FG11" s="619"/>
      <c r="FH11" s="619"/>
      <c r="FI11" s="619"/>
      <c r="FJ11" s="619"/>
      <c r="FK11" s="619"/>
      <c r="FL11" s="619"/>
      <c r="FM11" s="619"/>
      <c r="FN11" s="619"/>
      <c r="FO11" s="619"/>
      <c r="FP11" s="619"/>
      <c r="FQ11" s="619"/>
      <c r="FR11" s="619"/>
      <c r="FS11" s="619"/>
      <c r="FT11" s="619"/>
      <c r="FU11" s="619"/>
      <c r="FV11" s="619"/>
      <c r="FW11" s="619"/>
      <c r="FX11" s="619"/>
      <c r="FY11" s="619"/>
      <c r="FZ11" s="619"/>
      <c r="GA11" s="619"/>
      <c r="GB11" s="619"/>
      <c r="GC11" s="619"/>
      <c r="GD11" s="619"/>
      <c r="GE11" s="619"/>
      <c r="GF11" s="619"/>
      <c r="GG11" s="619"/>
      <c r="GH11" s="619"/>
      <c r="GI11" s="619"/>
      <c r="GJ11" s="619"/>
      <c r="GK11" s="619"/>
      <c r="GL11" s="619"/>
      <c r="GM11" s="619"/>
      <c r="GN11" s="619"/>
      <c r="GO11" s="619"/>
      <c r="GP11" s="619"/>
      <c r="GQ11" s="619"/>
      <c r="GR11" s="619"/>
      <c r="GS11" s="619"/>
      <c r="GT11" s="619"/>
      <c r="GU11" s="619"/>
      <c r="GV11" s="619"/>
      <c r="GW11" s="619"/>
      <c r="GX11" s="619"/>
      <c r="GY11" s="619"/>
      <c r="GZ11" s="619"/>
      <c r="HA11" s="619"/>
      <c r="HB11" s="619"/>
      <c r="HC11" s="619"/>
      <c r="HD11" s="619"/>
      <c r="HE11" s="619"/>
      <c r="HF11" s="619"/>
      <c r="HG11" s="619"/>
      <c r="HH11" s="619"/>
      <c r="HI11" s="619"/>
      <c r="HJ11" s="619"/>
      <c r="HK11" s="619"/>
      <c r="HL11" s="619"/>
      <c r="HM11" s="619"/>
      <c r="HN11" s="619"/>
      <c r="HO11" s="619"/>
      <c r="HP11" s="619"/>
      <c r="HQ11" s="619"/>
      <c r="HR11" s="619"/>
      <c r="HS11" s="619"/>
      <c r="HT11" s="619"/>
      <c r="HU11" s="619"/>
      <c r="HV11" s="619"/>
      <c r="HW11" s="619"/>
      <c r="HX11" s="619"/>
      <c r="HY11" s="619"/>
      <c r="HZ11" s="619"/>
      <c r="IA11" s="619"/>
      <c r="IB11" s="619"/>
      <c r="IC11" s="619"/>
      <c r="ID11" s="619"/>
      <c r="IE11" s="619"/>
      <c r="IF11" s="619"/>
      <c r="IG11" s="619"/>
      <c r="IH11" s="619"/>
      <c r="II11" s="619"/>
      <c r="IJ11" s="619"/>
      <c r="IK11" s="619"/>
      <c r="IL11" s="619"/>
      <c r="IM11" s="619"/>
      <c r="IN11" s="619"/>
      <c r="IO11" s="619"/>
      <c r="IP11" s="619"/>
      <c r="IQ11" s="619"/>
      <c r="IR11" s="619"/>
      <c r="IS11" s="619"/>
      <c r="IT11" s="619"/>
      <c r="IU11" s="619"/>
      <c r="IV11" s="619"/>
    </row>
    <row r="12" spans="1:256" ht="15" customHeight="1" x14ac:dyDescent="0.25">
      <c r="A12" s="42" t="s">
        <v>113</v>
      </c>
      <c r="B12" s="42"/>
      <c r="C12" s="42"/>
      <c r="D12" s="42"/>
      <c r="E12" s="619"/>
      <c r="F12" s="619"/>
      <c r="G12" s="619"/>
      <c r="H12" s="619"/>
      <c r="I12" s="619"/>
      <c r="J12" s="619"/>
      <c r="K12" s="619"/>
      <c r="L12" s="619"/>
      <c r="M12" s="619"/>
      <c r="N12" s="619"/>
      <c r="O12" s="619"/>
      <c r="P12" s="619"/>
      <c r="Q12" s="619"/>
      <c r="R12" s="619"/>
      <c r="S12" s="619"/>
      <c r="T12" s="619"/>
      <c r="U12" s="619"/>
      <c r="V12" s="619"/>
      <c r="W12" s="619"/>
      <c r="X12" s="619"/>
      <c r="Y12" s="619"/>
      <c r="Z12" s="619"/>
      <c r="AA12" s="619"/>
      <c r="AB12" s="619"/>
      <c r="AC12" s="619"/>
      <c r="AD12" s="619"/>
      <c r="AE12" s="619"/>
      <c r="AF12" s="619"/>
      <c r="AG12" s="619"/>
      <c r="AH12" s="619"/>
      <c r="AI12" s="619"/>
      <c r="AJ12" s="619"/>
      <c r="AK12" s="619"/>
      <c r="AL12" s="619"/>
      <c r="AM12" s="619"/>
      <c r="AN12" s="619"/>
      <c r="AO12" s="619"/>
      <c r="AP12" s="619"/>
      <c r="AQ12" s="619"/>
      <c r="AR12" s="619"/>
      <c r="AS12" s="619"/>
      <c r="AT12" s="619"/>
      <c r="AU12" s="619"/>
      <c r="AV12" s="619"/>
      <c r="AW12" s="619"/>
      <c r="AX12" s="619"/>
      <c r="AY12" s="619"/>
      <c r="AZ12" s="619"/>
      <c r="BA12" s="619"/>
      <c r="BB12" s="619"/>
      <c r="BC12" s="619"/>
      <c r="BD12" s="619"/>
      <c r="BE12" s="619"/>
      <c r="BF12" s="619"/>
      <c r="BG12" s="619"/>
      <c r="BH12" s="619"/>
      <c r="BI12" s="619"/>
      <c r="BJ12" s="619"/>
      <c r="BK12" s="619"/>
      <c r="BL12" s="619"/>
      <c r="BM12" s="619"/>
      <c r="BN12" s="619"/>
      <c r="BO12" s="619"/>
      <c r="BP12" s="619"/>
      <c r="BQ12" s="619"/>
      <c r="BR12" s="619"/>
      <c r="BS12" s="619"/>
      <c r="BT12" s="619"/>
      <c r="BU12" s="619"/>
      <c r="BV12" s="619"/>
      <c r="BW12" s="619"/>
      <c r="BX12" s="619"/>
      <c r="BY12" s="619"/>
      <c r="BZ12" s="619"/>
      <c r="CA12" s="619"/>
      <c r="CB12" s="619"/>
      <c r="CC12" s="619"/>
      <c r="CD12" s="619"/>
      <c r="CE12" s="619"/>
      <c r="CF12" s="619"/>
      <c r="CG12" s="619"/>
      <c r="CH12" s="619"/>
      <c r="CI12" s="619"/>
      <c r="CJ12" s="619"/>
      <c r="CK12" s="619"/>
      <c r="CL12" s="619"/>
      <c r="CM12" s="619"/>
      <c r="CN12" s="619"/>
      <c r="CO12" s="619"/>
      <c r="CP12" s="619"/>
      <c r="CQ12" s="619"/>
      <c r="CR12" s="619"/>
      <c r="CS12" s="619"/>
      <c r="CT12" s="619"/>
      <c r="CU12" s="619"/>
      <c r="CV12" s="619"/>
      <c r="CW12" s="619"/>
      <c r="CX12" s="619"/>
      <c r="CY12" s="619"/>
      <c r="CZ12" s="619"/>
      <c r="DA12" s="619"/>
      <c r="DB12" s="619"/>
      <c r="DC12" s="619"/>
      <c r="DD12" s="619"/>
      <c r="DE12" s="619"/>
      <c r="DF12" s="619"/>
      <c r="DG12" s="619"/>
      <c r="DH12" s="619"/>
      <c r="DI12" s="619"/>
      <c r="DJ12" s="619"/>
      <c r="DK12" s="619"/>
      <c r="DL12" s="619"/>
      <c r="DM12" s="619"/>
      <c r="DN12" s="619"/>
      <c r="DO12" s="619"/>
      <c r="DP12" s="619"/>
      <c r="DQ12" s="619"/>
      <c r="DR12" s="619"/>
      <c r="DS12" s="619"/>
      <c r="DT12" s="619"/>
      <c r="DU12" s="619"/>
      <c r="DV12" s="619"/>
      <c r="DW12" s="619"/>
      <c r="DX12" s="619"/>
      <c r="DY12" s="619"/>
      <c r="DZ12" s="619"/>
      <c r="EA12" s="619"/>
      <c r="EB12" s="619"/>
      <c r="EC12" s="619"/>
      <c r="ED12" s="619"/>
      <c r="EE12" s="619"/>
      <c r="EF12" s="619"/>
      <c r="EG12" s="619"/>
      <c r="EH12" s="619"/>
      <c r="EI12" s="619"/>
      <c r="EJ12" s="619"/>
      <c r="EK12" s="619"/>
      <c r="EL12" s="619"/>
      <c r="EM12" s="619"/>
      <c r="EN12" s="619"/>
      <c r="EO12" s="619"/>
      <c r="EP12" s="619"/>
      <c r="EQ12" s="619"/>
      <c r="ER12" s="619"/>
      <c r="ES12" s="619"/>
      <c r="ET12" s="619"/>
      <c r="EU12" s="619"/>
      <c r="EV12" s="619"/>
      <c r="EW12" s="619"/>
      <c r="EX12" s="619"/>
      <c r="EY12" s="619"/>
      <c r="EZ12" s="619"/>
      <c r="FA12" s="619"/>
      <c r="FB12" s="619"/>
      <c r="FC12" s="619"/>
      <c r="FD12" s="619"/>
      <c r="FE12" s="619"/>
      <c r="FF12" s="619"/>
      <c r="FG12" s="619"/>
      <c r="FH12" s="619"/>
      <c r="FI12" s="619"/>
      <c r="FJ12" s="619"/>
      <c r="FK12" s="619"/>
      <c r="FL12" s="619"/>
      <c r="FM12" s="619"/>
      <c r="FN12" s="619"/>
      <c r="FO12" s="619"/>
      <c r="FP12" s="619"/>
      <c r="FQ12" s="619"/>
      <c r="FR12" s="619"/>
      <c r="FS12" s="619"/>
      <c r="FT12" s="619"/>
      <c r="FU12" s="619"/>
      <c r="FV12" s="619"/>
      <c r="FW12" s="619"/>
      <c r="FX12" s="619"/>
      <c r="FY12" s="619"/>
      <c r="FZ12" s="619"/>
      <c r="GA12" s="619"/>
      <c r="GB12" s="619"/>
      <c r="GC12" s="619"/>
      <c r="GD12" s="619"/>
      <c r="GE12" s="619"/>
      <c r="GF12" s="619"/>
      <c r="GG12" s="619"/>
      <c r="GH12" s="619"/>
      <c r="GI12" s="619"/>
      <c r="GJ12" s="619"/>
      <c r="GK12" s="619"/>
      <c r="GL12" s="619"/>
      <c r="GM12" s="619"/>
      <c r="GN12" s="619"/>
      <c r="GO12" s="619"/>
      <c r="GP12" s="619"/>
      <c r="GQ12" s="619"/>
      <c r="GR12" s="619"/>
      <c r="GS12" s="619"/>
      <c r="GT12" s="619"/>
      <c r="GU12" s="619"/>
      <c r="GV12" s="619"/>
      <c r="GW12" s="619"/>
      <c r="GX12" s="619"/>
      <c r="GY12" s="619"/>
      <c r="GZ12" s="619"/>
      <c r="HA12" s="619"/>
      <c r="HB12" s="619"/>
      <c r="HC12" s="619"/>
      <c r="HD12" s="619"/>
      <c r="HE12" s="619"/>
      <c r="HF12" s="619"/>
      <c r="HG12" s="619"/>
      <c r="HH12" s="619"/>
      <c r="HI12" s="619"/>
      <c r="HJ12" s="619"/>
      <c r="HK12" s="619"/>
      <c r="HL12" s="619"/>
      <c r="HM12" s="619"/>
      <c r="HN12" s="619"/>
      <c r="HO12" s="619"/>
      <c r="HP12" s="619"/>
      <c r="HQ12" s="619"/>
      <c r="HR12" s="619"/>
      <c r="HS12" s="619"/>
      <c r="HT12" s="619"/>
      <c r="HU12" s="619"/>
      <c r="HV12" s="619"/>
      <c r="HW12" s="619"/>
      <c r="HX12" s="619"/>
      <c r="HY12" s="619"/>
      <c r="HZ12" s="619"/>
      <c r="IA12" s="619"/>
      <c r="IB12" s="619"/>
      <c r="IC12" s="619"/>
      <c r="ID12" s="619"/>
      <c r="IE12" s="619"/>
      <c r="IF12" s="619"/>
      <c r="IG12" s="619"/>
      <c r="IH12" s="619"/>
      <c r="II12" s="619"/>
      <c r="IJ12" s="619"/>
      <c r="IK12" s="619"/>
      <c r="IL12" s="619"/>
      <c r="IM12" s="619"/>
      <c r="IN12" s="619"/>
      <c r="IO12" s="619"/>
      <c r="IP12" s="619"/>
      <c r="IQ12" s="619"/>
      <c r="IR12" s="619"/>
      <c r="IS12" s="619"/>
      <c r="IT12" s="619"/>
      <c r="IU12" s="619"/>
      <c r="IV12" s="619"/>
    </row>
    <row r="13" spans="1:256" ht="15" customHeight="1" x14ac:dyDescent="0.25">
      <c r="A13" s="114" t="s">
        <v>2</v>
      </c>
      <c r="B13" s="199">
        <f>B12</f>
        <v>0</v>
      </c>
      <c r="C13" s="199">
        <f>C12</f>
        <v>0</v>
      </c>
      <c r="D13" s="42"/>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c r="GN13" s="11"/>
      <c r="GO13" s="11"/>
      <c r="GP13" s="11"/>
      <c r="GQ13" s="11"/>
      <c r="GR13" s="11"/>
      <c r="GS13" s="11"/>
      <c r="GT13" s="11"/>
      <c r="GU13" s="11"/>
      <c r="GV13" s="11"/>
      <c r="GW13" s="11"/>
      <c r="GX13" s="11"/>
      <c r="GY13" s="11"/>
      <c r="GZ13" s="11"/>
      <c r="HA13" s="11"/>
      <c r="HB13" s="11"/>
      <c r="HC13" s="11"/>
      <c r="HD13" s="11"/>
      <c r="HE13" s="11"/>
      <c r="HF13" s="11"/>
      <c r="HG13" s="11"/>
      <c r="HH13" s="11"/>
      <c r="HI13" s="11"/>
      <c r="HJ13" s="11"/>
      <c r="HK13" s="11"/>
      <c r="HL13" s="11"/>
      <c r="HM13" s="11"/>
      <c r="HN13" s="11"/>
      <c r="HO13" s="11"/>
      <c r="HP13" s="11"/>
      <c r="HQ13" s="11"/>
      <c r="HR13" s="11"/>
      <c r="HS13" s="11"/>
      <c r="HT13" s="11"/>
      <c r="HU13" s="11"/>
      <c r="HV13" s="11"/>
      <c r="HW13" s="11"/>
      <c r="HX13" s="11"/>
      <c r="HY13" s="11"/>
      <c r="HZ13" s="11"/>
      <c r="IA13" s="11"/>
      <c r="IB13" s="11"/>
      <c r="IC13" s="11"/>
      <c r="ID13" s="11"/>
      <c r="IE13" s="11"/>
      <c r="IF13" s="11"/>
      <c r="IG13" s="11"/>
      <c r="IH13" s="11"/>
      <c r="II13" s="11"/>
      <c r="IJ13" s="11"/>
      <c r="IK13" s="11"/>
      <c r="IL13" s="11"/>
      <c r="IM13" s="11"/>
      <c r="IN13" s="11"/>
      <c r="IO13" s="11"/>
      <c r="IP13" s="11"/>
      <c r="IQ13" s="11"/>
      <c r="IR13" s="11"/>
      <c r="IS13" s="11"/>
      <c r="IT13" s="11"/>
      <c r="IU13" s="11"/>
      <c r="IV13" s="11"/>
    </row>
    <row r="14" spans="1:256" ht="15" customHeight="1" x14ac:dyDescent="0.25"/>
    <row r="15" spans="1:256" ht="15" customHeight="1" x14ac:dyDescent="0.25">
      <c r="A15" s="84" t="s">
        <v>111</v>
      </c>
    </row>
    <row r="16" spans="1:256" ht="15" customHeight="1" x14ac:dyDescent="0.25">
      <c r="A16" s="112" t="s">
        <v>114</v>
      </c>
      <c r="B16" s="112"/>
      <c r="C16" s="112"/>
      <c r="D16" s="112"/>
    </row>
    <row r="17" spans="1:3" ht="15" customHeight="1" x14ac:dyDescent="0.25">
      <c r="A17" s="114" t="s">
        <v>2</v>
      </c>
      <c r="B17" s="200">
        <f>B16</f>
        <v>0</v>
      </c>
      <c r="C17" s="200">
        <f>C16</f>
        <v>0</v>
      </c>
    </row>
    <row r="18" spans="1:3" ht="15" customHeight="1" x14ac:dyDescent="0.25"/>
    <row r="19" spans="1:3" ht="15" customHeight="1" x14ac:dyDescent="0.25">
      <c r="A19" s="84" t="s">
        <v>115</v>
      </c>
      <c r="B19" s="200">
        <f>B9+B13+B17</f>
        <v>0</v>
      </c>
      <c r="C19" s="200">
        <f>C9+C13+C17</f>
        <v>0</v>
      </c>
    </row>
    <row r="20" spans="1:3" ht="15" customHeight="1" x14ac:dyDescent="0.25"/>
    <row r="21" spans="1:3" ht="15" customHeight="1" x14ac:dyDescent="0.25">
      <c r="A21" s="103" t="str">
        <f>Indice!C21</f>
        <v>Propiedades, planta y equipo</v>
      </c>
      <c r="B21" s="103"/>
      <c r="C21" s="122" t="s">
        <v>117</v>
      </c>
    </row>
    <row r="22" spans="1:3" x14ac:dyDescent="0.25">
      <c r="A22" s="103"/>
      <c r="B22" s="103"/>
      <c r="C22" s="103"/>
    </row>
    <row r="23" spans="1:3" x14ac:dyDescent="0.25">
      <c r="A23" s="103"/>
      <c r="B23" s="103"/>
      <c r="C23" s="103"/>
    </row>
  </sheetData>
  <mergeCells count="211">
    <mergeCell ref="B5:C5"/>
    <mergeCell ref="IK12:IP12"/>
    <mergeCell ref="IQ12:IV12"/>
    <mergeCell ref="HG12:HL12"/>
    <mergeCell ref="HM12:HR12"/>
    <mergeCell ref="HS12:HX12"/>
    <mergeCell ref="HY12:ID12"/>
    <mergeCell ref="IE12:IJ12"/>
    <mergeCell ref="FQ12:FV12"/>
    <mergeCell ref="FW12:GB12"/>
    <mergeCell ref="DI12:DN12"/>
    <mergeCell ref="DO12:DT12"/>
    <mergeCell ref="DU12:DZ12"/>
    <mergeCell ref="EA12:EF12"/>
    <mergeCell ref="GC12:GH12"/>
    <mergeCell ref="GI12:GN12"/>
    <mergeCell ref="GO12:GT12"/>
    <mergeCell ref="GU12:GZ12"/>
    <mergeCell ref="EG12:EL12"/>
    <mergeCell ref="EM12:ER12"/>
    <mergeCell ref="ES12:EX12"/>
    <mergeCell ref="EY12:FD12"/>
    <mergeCell ref="HA12:HF12"/>
    <mergeCell ref="HY11:ID11"/>
    <mergeCell ref="CE12:CJ12"/>
    <mergeCell ref="CK12:CP12"/>
    <mergeCell ref="CQ12:CV12"/>
    <mergeCell ref="CW12:DB12"/>
    <mergeCell ref="DC12:DH12"/>
    <mergeCell ref="FE12:FJ12"/>
    <mergeCell ref="FK12:FP12"/>
    <mergeCell ref="EG11:EL11"/>
    <mergeCell ref="EM11:ER11"/>
    <mergeCell ref="DO11:DT11"/>
    <mergeCell ref="DU11:DZ11"/>
    <mergeCell ref="AC12:AH12"/>
    <mergeCell ref="AI12:AN12"/>
    <mergeCell ref="AO12:AT12"/>
    <mergeCell ref="AU12:AZ12"/>
    <mergeCell ref="BA12:BF12"/>
    <mergeCell ref="BG12:BL12"/>
    <mergeCell ref="BM12:BR12"/>
    <mergeCell ref="BS12:BX12"/>
    <mergeCell ref="BY12:CD12"/>
    <mergeCell ref="IE11:IJ11"/>
    <mergeCell ref="IK11:IP11"/>
    <mergeCell ref="IQ11:IV11"/>
    <mergeCell ref="GI11:GN11"/>
    <mergeCell ref="GO11:GT11"/>
    <mergeCell ref="GU11:GZ11"/>
    <mergeCell ref="HA11:HF11"/>
    <mergeCell ref="HG11:HL11"/>
    <mergeCell ref="HM11:HR11"/>
    <mergeCell ref="HS11:HX11"/>
    <mergeCell ref="K11:P11"/>
    <mergeCell ref="Q11:V11"/>
    <mergeCell ref="W11:AB11"/>
    <mergeCell ref="AC11:AH11"/>
    <mergeCell ref="AI11:AN11"/>
    <mergeCell ref="AU11:AZ11"/>
    <mergeCell ref="BA11:BF11"/>
    <mergeCell ref="BG11:BL11"/>
    <mergeCell ref="AO11:AT11"/>
    <mergeCell ref="E12:J12"/>
    <mergeCell ref="K12:P12"/>
    <mergeCell ref="Q12:V12"/>
    <mergeCell ref="W12:AB12"/>
    <mergeCell ref="IQ10:IV10"/>
    <mergeCell ref="HA10:HF10"/>
    <mergeCell ref="HG10:HL10"/>
    <mergeCell ref="HM10:HR10"/>
    <mergeCell ref="HS10:HX10"/>
    <mergeCell ref="HY10:ID10"/>
    <mergeCell ref="IE10:IJ10"/>
    <mergeCell ref="FQ10:FV10"/>
    <mergeCell ref="BM11:BR11"/>
    <mergeCell ref="BS11:BX11"/>
    <mergeCell ref="BY11:CD11"/>
    <mergeCell ref="CE11:CJ11"/>
    <mergeCell ref="CK11:CP11"/>
    <mergeCell ref="CQ11:CV11"/>
    <mergeCell ref="CW11:DB11"/>
    <mergeCell ref="DC11:DH11"/>
    <mergeCell ref="DI11:DN11"/>
    <mergeCell ref="FW11:GB11"/>
    <mergeCell ref="GC11:GH11"/>
    <mergeCell ref="E11:J11"/>
    <mergeCell ref="EA11:EF11"/>
    <mergeCell ref="FW10:GB10"/>
    <mergeCell ref="GC10:GH10"/>
    <mergeCell ref="GI10:GN10"/>
    <mergeCell ref="GO10:GT10"/>
    <mergeCell ref="GU10:GZ10"/>
    <mergeCell ref="EG10:EL10"/>
    <mergeCell ref="EM10:ER10"/>
    <mergeCell ref="ES10:EX10"/>
    <mergeCell ref="EY10:FD10"/>
    <mergeCell ref="FE10:FJ10"/>
    <mergeCell ref="ES11:EX11"/>
    <mergeCell ref="EY11:FD11"/>
    <mergeCell ref="FE11:FJ11"/>
    <mergeCell ref="FK11:FP11"/>
    <mergeCell ref="FQ11:FV11"/>
    <mergeCell ref="BS10:BX10"/>
    <mergeCell ref="BY10:CD10"/>
    <mergeCell ref="CE10:CJ10"/>
    <mergeCell ref="CK10:CP10"/>
    <mergeCell ref="CQ10:CV10"/>
    <mergeCell ref="FK10:FP10"/>
    <mergeCell ref="CW10:DB10"/>
    <mergeCell ref="DC10:DH10"/>
    <mergeCell ref="DI10:DN10"/>
    <mergeCell ref="DO10:DT10"/>
    <mergeCell ref="DU10:DZ10"/>
    <mergeCell ref="EA10:EF10"/>
    <mergeCell ref="IQ8:IV8"/>
    <mergeCell ref="GI8:GN8"/>
    <mergeCell ref="GO8:GT8"/>
    <mergeCell ref="GU8:GZ8"/>
    <mergeCell ref="HA8:HF8"/>
    <mergeCell ref="HG8:HL8"/>
    <mergeCell ref="HM8:HR8"/>
    <mergeCell ref="E10:J10"/>
    <mergeCell ref="K10:P10"/>
    <mergeCell ref="Q10:V10"/>
    <mergeCell ref="W10:AB10"/>
    <mergeCell ref="IK10:IP10"/>
    <mergeCell ref="HS8:HX8"/>
    <mergeCell ref="HY8:ID8"/>
    <mergeCell ref="IE8:IJ8"/>
    <mergeCell ref="IK8:IP8"/>
    <mergeCell ref="EY8:FD8"/>
    <mergeCell ref="AC10:AH10"/>
    <mergeCell ref="AI10:AN10"/>
    <mergeCell ref="AO10:AT10"/>
    <mergeCell ref="AU10:AZ10"/>
    <mergeCell ref="BA10:BF10"/>
    <mergeCell ref="BG10:BL10"/>
    <mergeCell ref="BM10:BR10"/>
    <mergeCell ref="FE8:FJ8"/>
    <mergeCell ref="FK8:FP8"/>
    <mergeCell ref="FQ8:FV8"/>
    <mergeCell ref="FW8:GB8"/>
    <mergeCell ref="GC8:GH8"/>
    <mergeCell ref="DO8:DT8"/>
    <mergeCell ref="DU8:DZ8"/>
    <mergeCell ref="EA8:EF8"/>
    <mergeCell ref="EG8:EL8"/>
    <mergeCell ref="EM8:ER8"/>
    <mergeCell ref="E8:J8"/>
    <mergeCell ref="K8:P8"/>
    <mergeCell ref="Q8:V8"/>
    <mergeCell ref="W8:AB8"/>
    <mergeCell ref="AC8:AH8"/>
    <mergeCell ref="AI8:AN8"/>
    <mergeCell ref="BS8:BX8"/>
    <mergeCell ref="BY8:CD8"/>
    <mergeCell ref="ES8:EX8"/>
    <mergeCell ref="CE8:CJ8"/>
    <mergeCell ref="CK8:CP8"/>
    <mergeCell ref="CQ8:CV8"/>
    <mergeCell ref="CW8:DB8"/>
    <mergeCell ref="DC8:DH8"/>
    <mergeCell ref="DI8:DN8"/>
    <mergeCell ref="AO8:AT8"/>
    <mergeCell ref="BS4:BX4"/>
    <mergeCell ref="BY4:CD4"/>
    <mergeCell ref="CE4:CJ4"/>
    <mergeCell ref="CK4:CP4"/>
    <mergeCell ref="CQ4:CV4"/>
    <mergeCell ref="AU8:AZ8"/>
    <mergeCell ref="BA8:BF8"/>
    <mergeCell ref="BG8:BL8"/>
    <mergeCell ref="BM8:BR8"/>
    <mergeCell ref="E4:J4"/>
    <mergeCell ref="K4:P4"/>
    <mergeCell ref="Q4:V4"/>
    <mergeCell ref="W4:AB4"/>
    <mergeCell ref="AC4:AH4"/>
    <mergeCell ref="IQ4:IV4"/>
    <mergeCell ref="HG4:HL4"/>
    <mergeCell ref="HM4:HR4"/>
    <mergeCell ref="HS4:HX4"/>
    <mergeCell ref="HY4:ID4"/>
    <mergeCell ref="CW4:DB4"/>
    <mergeCell ref="AI4:AN4"/>
    <mergeCell ref="AO4:AT4"/>
    <mergeCell ref="AU4:AZ4"/>
    <mergeCell ref="BA4:BF4"/>
    <mergeCell ref="BG4:BL4"/>
    <mergeCell ref="BM4:BR4"/>
    <mergeCell ref="FE4:FJ4"/>
    <mergeCell ref="FK4:FP4"/>
    <mergeCell ref="FQ4:FV4"/>
    <mergeCell ref="IE4:IJ4"/>
    <mergeCell ref="IK4:IP4"/>
    <mergeCell ref="FW4:GB4"/>
    <mergeCell ref="GC4:GH4"/>
    <mergeCell ref="GI4:GN4"/>
    <mergeCell ref="GO4:GT4"/>
    <mergeCell ref="GU4:GZ4"/>
    <mergeCell ref="HA4:HF4"/>
    <mergeCell ref="DC4:DH4"/>
    <mergeCell ref="DI4:DN4"/>
    <mergeCell ref="DO4:DT4"/>
    <mergeCell ref="DU4:DZ4"/>
    <mergeCell ref="EA4:EF4"/>
    <mergeCell ref="EG4:EL4"/>
    <mergeCell ref="EM4:ER4"/>
    <mergeCell ref="ES4:EX4"/>
    <mergeCell ref="EY4:FD4"/>
  </mergeCells>
  <hyperlinks>
    <hyperlink ref="C1" location="BG!A1" display="BG" xr:uid="{00000000-0004-0000-0E00-000000000000}"/>
    <hyperlink ref="C21" location="BG!A1" display="BG" xr:uid="{00000000-0004-0000-0E00-000001000000}"/>
  </hyperlinks>
  <printOptions horizontalCentered="1"/>
  <pageMargins left="0.70866141732283472" right="0.70866141732283472" top="0.74803149606299213" bottom="0.74803149606299213" header="0.31496062992125984" footer="0.31496062992125984"/>
  <pageSetup paperSize="9" scale="10" orientation="portrait" r:id="rId1"/>
  <colBreaks count="1" manualBreakCount="1">
    <brk id="4" max="1048575"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Hoja16">
    <tabColor rgb="FFFFFF00"/>
    <pageSetUpPr fitToPage="1"/>
  </sheetPr>
  <dimension ref="A1:R20"/>
  <sheetViews>
    <sheetView topLeftCell="B4" zoomScaleNormal="100" zoomScaleSheetLayoutView="90" workbookViewId="0">
      <selection activeCell="A18" sqref="A18"/>
    </sheetView>
  </sheetViews>
  <sheetFormatPr baseColWidth="10" defaultRowHeight="15" x14ac:dyDescent="0.25"/>
  <cols>
    <col min="1" max="1" width="70" style="103" bestFit="1" customWidth="1"/>
    <col min="2" max="3" width="22.7109375" style="103" customWidth="1"/>
    <col min="4" max="18" width="11.5703125" style="103" customWidth="1"/>
  </cols>
  <sheetData>
    <row r="1" spans="1:5" x14ac:dyDescent="0.25">
      <c r="A1" s="103" t="str">
        <f>Indice!C1</f>
        <v>SALLUSTRO Y CIA. S.A.</v>
      </c>
      <c r="C1" s="122" t="s">
        <v>117</v>
      </c>
    </row>
    <row r="4" spans="1:5" x14ac:dyDescent="0.25">
      <c r="A4" s="637" t="s">
        <v>270</v>
      </c>
      <c r="B4" s="637"/>
      <c r="C4" s="637"/>
    </row>
    <row r="5" spans="1:5" x14ac:dyDescent="0.25">
      <c r="B5" s="652" t="s">
        <v>197</v>
      </c>
      <c r="C5" s="652"/>
    </row>
    <row r="6" spans="1:5" x14ac:dyDescent="0.25">
      <c r="A6" s="119" t="s">
        <v>110</v>
      </c>
      <c r="B6" s="306">
        <f>IFERROR(IF(Indice!B6="","2XX2",YEAR(Indice!B6)),"2XX2")</f>
        <v>2024</v>
      </c>
      <c r="C6" s="306">
        <f>IFERROR(YEAR(Indice!B6-366),"2XX1")</f>
        <v>2023</v>
      </c>
    </row>
    <row r="7" spans="1:5" x14ac:dyDescent="0.25">
      <c r="A7" s="116" t="s">
        <v>113</v>
      </c>
      <c r="B7" s="355"/>
      <c r="C7" s="355"/>
    </row>
    <row r="8" spans="1:5" x14ac:dyDescent="0.25">
      <c r="A8" s="116" t="s">
        <v>1217</v>
      </c>
      <c r="B8" s="355">
        <v>0</v>
      </c>
      <c r="C8" s="355">
        <v>0</v>
      </c>
    </row>
    <row r="9" spans="1:5" x14ac:dyDescent="0.25">
      <c r="A9" s="116" t="s">
        <v>1215</v>
      </c>
      <c r="B9" s="355">
        <v>6404201724.3800001</v>
      </c>
      <c r="C9" s="355">
        <v>6145502393.6999998</v>
      </c>
    </row>
    <row r="10" spans="1:5" x14ac:dyDescent="0.25">
      <c r="A10" s="116" t="s">
        <v>1216</v>
      </c>
      <c r="B10" s="355">
        <v>3419895710.3800001</v>
      </c>
      <c r="C10" s="355">
        <v>3010430707</v>
      </c>
    </row>
    <row r="11" spans="1:5" x14ac:dyDescent="0.25">
      <c r="A11" s="369" t="s">
        <v>863</v>
      </c>
      <c r="B11" s="355"/>
      <c r="C11" s="355"/>
      <c r="D11" s="116"/>
      <c r="E11" s="116"/>
    </row>
    <row r="12" spans="1:5" x14ac:dyDescent="0.25">
      <c r="A12" s="369" t="s">
        <v>963</v>
      </c>
      <c r="B12" s="456">
        <v>-3630262917.5</v>
      </c>
      <c r="C12" s="456">
        <v>-3778293534.25</v>
      </c>
    </row>
    <row r="13" spans="1:5" x14ac:dyDescent="0.25">
      <c r="A13" s="108" t="s">
        <v>115</v>
      </c>
      <c r="B13" s="398">
        <f>SUM(B7:B12)</f>
        <v>6193834517.2600002</v>
      </c>
      <c r="C13" s="398">
        <f>SUM(C7:C12)</f>
        <v>5377639566.4500008</v>
      </c>
    </row>
    <row r="14" spans="1:5" x14ac:dyDescent="0.25">
      <c r="A14" s="118"/>
    </row>
    <row r="15" spans="1:5" x14ac:dyDescent="0.25">
      <c r="A15" s="455" t="s">
        <v>1064</v>
      </c>
    </row>
    <row r="16" spans="1:5" x14ac:dyDescent="0.25">
      <c r="A16" s="118"/>
      <c r="D16" s="116"/>
      <c r="E16" s="116"/>
    </row>
    <row r="18" spans="1:1" x14ac:dyDescent="0.25">
      <c r="A18" s="108"/>
    </row>
    <row r="19" spans="1:1" x14ac:dyDescent="0.25">
      <c r="A19" s="115"/>
    </row>
    <row r="20" spans="1:1" x14ac:dyDescent="0.25">
      <c r="A20" s="118"/>
    </row>
  </sheetData>
  <mergeCells count="2">
    <mergeCell ref="A4:C4"/>
    <mergeCell ref="B5:C5"/>
  </mergeCells>
  <hyperlinks>
    <hyperlink ref="C1" location="BG!A1" display="BG" xr:uid="{00000000-0004-0000-0F00-000000000000}"/>
  </hyperlinks>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Hoja17">
    <tabColor rgb="FFFFFF00"/>
    <pageSetUpPr fitToPage="1"/>
  </sheetPr>
  <dimension ref="A1:K18"/>
  <sheetViews>
    <sheetView zoomScaleNormal="100" zoomScaleSheetLayoutView="70" workbookViewId="0">
      <selection activeCell="E7" sqref="E7"/>
    </sheetView>
  </sheetViews>
  <sheetFormatPr baseColWidth="10" defaultRowHeight="15" x14ac:dyDescent="0.25"/>
  <cols>
    <col min="1" max="1" width="37.28515625" style="103" customWidth="1"/>
    <col min="2" max="2" width="20" style="103" customWidth="1"/>
    <col min="3" max="3" width="18" style="103" customWidth="1"/>
    <col min="4" max="5" width="15.140625" style="103" bestFit="1" customWidth="1"/>
    <col min="6" max="11" width="11.5703125" style="103" customWidth="1"/>
  </cols>
  <sheetData>
    <row r="1" spans="1:4" x14ac:dyDescent="0.25">
      <c r="A1" s="103" t="str">
        <f>Indice!C1</f>
        <v>SALLUSTRO Y CIA. S.A.</v>
      </c>
      <c r="D1" s="122" t="s">
        <v>117</v>
      </c>
    </row>
    <row r="5" spans="1:4" x14ac:dyDescent="0.25">
      <c r="A5" s="239" t="s">
        <v>271</v>
      </c>
      <c r="B5" s="239"/>
      <c r="C5" s="239"/>
      <c r="D5" s="239"/>
    </row>
    <row r="6" spans="1:4" x14ac:dyDescent="0.25">
      <c r="B6" s="652" t="s">
        <v>258</v>
      </c>
      <c r="C6" s="652"/>
    </row>
    <row r="7" spans="1:4" x14ac:dyDescent="0.25">
      <c r="A7" s="120" t="s">
        <v>116</v>
      </c>
      <c r="B7" s="306">
        <f>IFERROR(IF(Indice!B6="","2XX2",YEAR(Indice!B6)),"2XX2")</f>
        <v>2024</v>
      </c>
      <c r="C7" s="306">
        <f>IFERROR(YEAR(Indice!B6-366),"2XX1")</f>
        <v>2023</v>
      </c>
      <c r="D7" s="115"/>
    </row>
    <row r="8" spans="1:4" x14ac:dyDescent="0.25">
      <c r="A8" s="116"/>
      <c r="B8" s="116"/>
      <c r="C8" s="116"/>
      <c r="D8" s="116"/>
    </row>
    <row r="9" spans="1:4" x14ac:dyDescent="0.25">
      <c r="A9" s="117"/>
      <c r="D9" s="117"/>
    </row>
    <row r="10" spans="1:4" x14ac:dyDescent="0.25">
      <c r="A10" s="118"/>
      <c r="D10" s="117"/>
    </row>
    <row r="11" spans="1:4" x14ac:dyDescent="0.25">
      <c r="A11" s="108" t="s">
        <v>115</v>
      </c>
      <c r="B11" s="197">
        <f>SUM(B8:B10)</f>
        <v>0</v>
      </c>
      <c r="C11" s="197">
        <f>SUM(C8:C10)</f>
        <v>0</v>
      </c>
    </row>
    <row r="12" spans="1:4" x14ac:dyDescent="0.25">
      <c r="A12" s="118"/>
      <c r="D12" s="117"/>
    </row>
    <row r="13" spans="1:4" x14ac:dyDescent="0.25">
      <c r="A13" s="117"/>
      <c r="D13" s="117"/>
    </row>
    <row r="17" customFormat="1" x14ac:dyDescent="0.25"/>
    <row r="18" customFormat="1" x14ac:dyDescent="0.25"/>
  </sheetData>
  <mergeCells count="1">
    <mergeCell ref="B6:C6"/>
  </mergeCells>
  <hyperlinks>
    <hyperlink ref="D1" location="BG!A1" display="BG" xr:uid="{00000000-0004-0000-1000-000000000000}"/>
  </hyperlinks>
  <printOptions horizontalCentered="1"/>
  <pageMargins left="0.70866141732283472" right="0.70866141732283472" top="0.74803149606299213" bottom="0.74803149606299213" header="0.31496062992125984" footer="0.31496062992125984"/>
  <pageSetup paperSize="9" scale="96"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Hoja18">
    <tabColor rgb="FFFFFF00"/>
    <pageSetUpPr fitToPage="1"/>
  </sheetPr>
  <dimension ref="A1:G23"/>
  <sheetViews>
    <sheetView showGridLines="0" topLeftCell="B10" zoomScaleNormal="100" zoomScaleSheetLayoutView="70" workbookViewId="0">
      <selection activeCell="A4" sqref="A4:E23"/>
    </sheetView>
  </sheetViews>
  <sheetFormatPr baseColWidth="10" defaultColWidth="11.42578125" defaultRowHeight="15" x14ac:dyDescent="0.25"/>
  <cols>
    <col min="1" max="1" width="37.42578125" customWidth="1"/>
    <col min="2" max="2" width="26.140625" bestFit="1" customWidth="1"/>
    <col min="3" max="3" width="21.42578125" bestFit="1" customWidth="1"/>
    <col min="4" max="5" width="15.140625" bestFit="1" customWidth="1"/>
    <col min="6" max="6" width="17.28515625" bestFit="1" customWidth="1"/>
  </cols>
  <sheetData>
    <row r="1" spans="1:7" ht="15.75" customHeight="1" x14ac:dyDescent="0.25">
      <c r="A1" t="str">
        <f>Indice!C1</f>
        <v>SALLUSTRO Y CIA. S.A.</v>
      </c>
      <c r="B1" s="121"/>
      <c r="C1" s="331" t="s">
        <v>117</v>
      </c>
    </row>
    <row r="2" spans="1:7" ht="15.75" customHeight="1" x14ac:dyDescent="0.25"/>
    <row r="3" spans="1:7" ht="15.75" customHeight="1" x14ac:dyDescent="0.25"/>
    <row r="4" spans="1:7" ht="15.75" customHeight="1" x14ac:dyDescent="0.25">
      <c r="A4" s="239" t="s">
        <v>273</v>
      </c>
      <c r="B4" s="239"/>
      <c r="C4" s="239"/>
      <c r="D4" s="239"/>
      <c r="E4" s="239"/>
    </row>
    <row r="5" spans="1:7" ht="15.75" customHeight="1" x14ac:dyDescent="0.25">
      <c r="A5" s="304" t="s">
        <v>258</v>
      </c>
    </row>
    <row r="6" spans="1:7" ht="15.75" customHeight="1" x14ac:dyDescent="0.25">
      <c r="A6" s="2" t="s">
        <v>770</v>
      </c>
      <c r="B6" s="2"/>
      <c r="C6" s="2"/>
      <c r="D6" s="2"/>
    </row>
    <row r="7" spans="1:7" ht="15.75" customHeight="1" x14ac:dyDescent="0.25">
      <c r="E7" s="198"/>
    </row>
    <row r="8" spans="1:7" ht="15.75" customHeight="1" x14ac:dyDescent="0.25">
      <c r="A8" s="84" t="s">
        <v>56</v>
      </c>
      <c r="B8" s="321" t="s">
        <v>160</v>
      </c>
      <c r="C8" s="321" t="s">
        <v>411</v>
      </c>
      <c r="D8" s="322">
        <f>IFERROR(IF(Indice!B6="","2XX2",YEAR(Indice!B6)),"2XX2")</f>
        <v>2024</v>
      </c>
      <c r="E8" s="322">
        <f>IFERROR(YEAR(Indice!B6-366),"2XX1")</f>
        <v>2023</v>
      </c>
    </row>
    <row r="9" spans="1:7" ht="15.75" customHeight="1" x14ac:dyDescent="0.25">
      <c r="A9" t="s">
        <v>102</v>
      </c>
      <c r="B9" s="238" t="s">
        <v>376</v>
      </c>
      <c r="C9" s="243" t="str">
        <f>IFERROR(VLOOKUP(B9,'Base de Monedas'!A:B,2,0),"")</f>
        <v>Guaraní</v>
      </c>
      <c r="D9" s="374">
        <f>9259444628.42+250266693-385054</f>
        <v>9509326267.4200001</v>
      </c>
      <c r="E9" s="374">
        <v>10453239773.6</v>
      </c>
    </row>
    <row r="10" spans="1:7" ht="15.75" customHeight="1" x14ac:dyDescent="0.25">
      <c r="A10" t="s">
        <v>102</v>
      </c>
      <c r="B10" s="238" t="s">
        <v>375</v>
      </c>
      <c r="C10" s="243" t="str">
        <f>IFERROR(VLOOKUP(B10,'Base de Monedas'!A:B,2,0),"")</f>
        <v>Dólar estadounidense</v>
      </c>
      <c r="D10" s="488">
        <v>4088114080.7921991</v>
      </c>
      <c r="E10" s="488">
        <v>4094892025</v>
      </c>
    </row>
    <row r="11" spans="1:7" ht="15.75" customHeight="1" x14ac:dyDescent="0.25">
      <c r="A11" t="s">
        <v>101</v>
      </c>
      <c r="B11" s="238" t="s">
        <v>375</v>
      </c>
      <c r="C11" s="243" t="str">
        <f>IFERROR(VLOOKUP(B11,'Base de Monedas'!A:B,2,0),"")</f>
        <v>Dólar estadounidense</v>
      </c>
      <c r="D11" s="488">
        <v>8509035577.6999998</v>
      </c>
      <c r="E11" s="488">
        <v>13906633001</v>
      </c>
    </row>
    <row r="12" spans="1:7" ht="15.75" customHeight="1" x14ac:dyDescent="0.25">
      <c r="A12" t="s">
        <v>864</v>
      </c>
      <c r="B12" s="238" t="s">
        <v>376</v>
      </c>
      <c r="C12" s="243" t="str">
        <f>IFERROR(VLOOKUP(B12,'Base de Monedas'!A:B,2,0),"")</f>
        <v>Guaraní</v>
      </c>
      <c r="D12" s="374">
        <v>0</v>
      </c>
      <c r="E12" s="374">
        <v>-933737429</v>
      </c>
    </row>
    <row r="13" spans="1:7" ht="15.75" customHeight="1" thickBot="1" x14ac:dyDescent="0.3">
      <c r="A13" s="12" t="s">
        <v>103</v>
      </c>
      <c r="B13" s="10"/>
      <c r="C13" s="14"/>
      <c r="D13" s="377">
        <f>SUM(D9:D12)</f>
        <v>22106475925.912201</v>
      </c>
      <c r="E13" s="377">
        <f>SUM(E9:E12)</f>
        <v>27521027370.599998</v>
      </c>
      <c r="F13" s="546"/>
      <c r="G13" s="545"/>
    </row>
    <row r="14" spans="1:7" ht="15.75" customHeight="1" thickTop="1" x14ac:dyDescent="0.25">
      <c r="A14" s="12"/>
      <c r="B14" s="10"/>
      <c r="C14" s="14"/>
      <c r="D14" s="231"/>
      <c r="E14" s="231"/>
    </row>
    <row r="15" spans="1:7" ht="15.75" customHeight="1" x14ac:dyDescent="0.25"/>
    <row r="16" spans="1:7" ht="15.75" customHeight="1" x14ac:dyDescent="0.25">
      <c r="D16" s="198"/>
    </row>
    <row r="17" spans="1:5" ht="15.75" customHeight="1" x14ac:dyDescent="0.25">
      <c r="A17" s="84" t="s">
        <v>769</v>
      </c>
      <c r="B17" s="321" t="s">
        <v>160</v>
      </c>
      <c r="C17" s="321" t="s">
        <v>411</v>
      </c>
      <c r="D17" s="322">
        <f>IFERROR(YEAR(Indice!B6),"2XX2")</f>
        <v>2024</v>
      </c>
      <c r="E17" s="322">
        <f>IFERROR(YEAR(Indice!B6-365),"2XX1")</f>
        <v>2024</v>
      </c>
    </row>
    <row r="18" spans="1:5" ht="15.75" customHeight="1" x14ac:dyDescent="0.25">
      <c r="A18" t="s">
        <v>410</v>
      </c>
      <c r="B18" s="238"/>
      <c r="C18" s="243" t="str">
        <f>IFERROR(VLOOKUP(B18,'Base de Monedas'!A:B,2,0),"")</f>
        <v/>
      </c>
      <c r="D18" s="20"/>
    </row>
    <row r="19" spans="1:5" ht="15.75" customHeight="1" x14ac:dyDescent="0.25">
      <c r="A19" t="s">
        <v>101</v>
      </c>
      <c r="B19" s="238"/>
      <c r="C19" s="243" t="str">
        <f>IFERROR(VLOOKUP(B19,'Base de Monedas'!A:B,2,0),"")</f>
        <v/>
      </c>
      <c r="D19" s="8"/>
    </row>
    <row r="20" spans="1:5" ht="15.75" customHeight="1" x14ac:dyDescent="0.25">
      <c r="A20" t="s">
        <v>102</v>
      </c>
      <c r="B20" s="238"/>
      <c r="C20" s="243" t="str">
        <f>IFERROR(VLOOKUP(B20,'Base de Monedas'!A:B,2,0),"")</f>
        <v/>
      </c>
      <c r="D20" s="231"/>
    </row>
    <row r="21" spans="1:5" ht="15.75" customHeight="1" x14ac:dyDescent="0.25">
      <c r="A21" s="241" t="s">
        <v>57</v>
      </c>
      <c r="B21" s="238"/>
      <c r="C21" s="243" t="str">
        <f>IFERROR(VLOOKUP(B21,'Base de Monedas'!A:B,2,0),"")</f>
        <v/>
      </c>
      <c r="D21" s="231"/>
    </row>
    <row r="22" spans="1:5" ht="15.75" customHeight="1" thickBot="1" x14ac:dyDescent="0.3">
      <c r="A22" s="12" t="s">
        <v>103</v>
      </c>
      <c r="B22" s="10"/>
      <c r="C22" s="14"/>
      <c r="D22" s="242">
        <f>SUM($D$18:D20)</f>
        <v>0</v>
      </c>
      <c r="E22" s="242">
        <f>SUM($E$18:E20)</f>
        <v>0</v>
      </c>
    </row>
    <row r="23" spans="1:5" ht="15.75" thickTop="1" x14ac:dyDescent="0.25"/>
  </sheetData>
  <hyperlinks>
    <hyperlink ref="C1" location="BG!A1" display="BG" xr:uid="{00000000-0004-0000-1100-000000000000}"/>
  </hyperlinks>
  <printOptions horizontalCentered="1"/>
  <pageMargins left="0.70866141732283472" right="0.70866141732283472" top="0.74803149606299213" bottom="0.74803149606299213" header="0.31496062992125984" footer="0.31496062992125984"/>
  <pageSetup paperSize="9" scale="94"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Hoja19">
    <tabColor rgb="FFFFFF00"/>
  </sheetPr>
  <dimension ref="A1:L131"/>
  <sheetViews>
    <sheetView showGridLines="0" topLeftCell="D235" zoomScaleNormal="100" zoomScaleSheetLayoutView="100" workbookViewId="0">
      <selection activeCell="E55" sqref="E55"/>
    </sheetView>
  </sheetViews>
  <sheetFormatPr baseColWidth="10" defaultRowHeight="15" x14ac:dyDescent="0.25"/>
  <cols>
    <col min="1" max="1" width="44.85546875" customWidth="1"/>
    <col min="2" max="2" width="12.42578125" bestFit="1" customWidth="1"/>
    <col min="3" max="3" width="11.42578125" bestFit="1" customWidth="1"/>
    <col min="4" max="4" width="20.5703125" bestFit="1" customWidth="1"/>
    <col min="5" max="5" width="17.42578125" style="559" bestFit="1" customWidth="1"/>
    <col min="6" max="6" width="19.5703125" bestFit="1" customWidth="1"/>
    <col min="7" max="7" width="2.7109375" customWidth="1"/>
    <col min="8" max="8" width="12.42578125" bestFit="1" customWidth="1"/>
    <col min="9" max="9" width="8" customWidth="1"/>
    <col min="10" max="10" width="8.7109375" customWidth="1"/>
    <col min="11" max="11" width="17.140625" customWidth="1"/>
    <col min="12" max="12" width="19.42578125" customWidth="1"/>
  </cols>
  <sheetData>
    <row r="1" spans="1:12" x14ac:dyDescent="0.25">
      <c r="A1" t="str">
        <f>Indice!C1</f>
        <v>SALLUSTRO Y CIA. S.A.</v>
      </c>
      <c r="E1" s="557" t="s">
        <v>117</v>
      </c>
      <c r="L1" s="121" t="s">
        <v>117</v>
      </c>
    </row>
    <row r="4" spans="1:12" x14ac:dyDescent="0.25">
      <c r="A4" s="256" t="s">
        <v>274</v>
      </c>
      <c r="B4" s="256"/>
      <c r="C4" s="256"/>
      <c r="D4" s="256"/>
      <c r="E4" s="558"/>
      <c r="F4" s="256"/>
      <c r="G4" s="256"/>
      <c r="H4" s="256"/>
      <c r="I4" s="256"/>
      <c r="J4" s="256"/>
      <c r="K4" s="256"/>
      <c r="L4" s="256"/>
    </row>
    <row r="6" spans="1:12" x14ac:dyDescent="0.25">
      <c r="A6" t="s">
        <v>1218</v>
      </c>
    </row>
    <row r="7" spans="1:12" x14ac:dyDescent="0.25">
      <c r="A7" t="s">
        <v>278</v>
      </c>
    </row>
    <row r="9" spans="1:12" x14ac:dyDescent="0.25">
      <c r="A9" s="84" t="s">
        <v>56</v>
      </c>
      <c r="C9" s="198"/>
      <c r="D9" s="198"/>
      <c r="E9" s="560"/>
      <c r="I9" s="198"/>
      <c r="J9" s="198"/>
      <c r="K9" s="198"/>
      <c r="L9" s="198"/>
    </row>
    <row r="10" spans="1:12" x14ac:dyDescent="0.25">
      <c r="A10" s="19"/>
      <c r="B10" s="323"/>
      <c r="C10" s="323"/>
      <c r="D10" s="306">
        <f>IFERROR(IF(Indice!B6="","2XX2",YEAR(Indice!B6)),"2XX2")</f>
        <v>2024</v>
      </c>
      <c r="E10" s="561"/>
      <c r="F10" s="323"/>
      <c r="H10" s="323"/>
      <c r="I10" s="323"/>
      <c r="J10" s="306">
        <f>IFERROR(YEAR(Indice!B6-366),"2XX1")</f>
        <v>2023</v>
      </c>
      <c r="K10" s="323"/>
      <c r="L10" s="323"/>
    </row>
    <row r="11" spans="1:12" ht="51.75" x14ac:dyDescent="0.25">
      <c r="A11" s="109" t="s">
        <v>774</v>
      </c>
      <c r="B11" s="110" t="s">
        <v>105</v>
      </c>
      <c r="C11" s="503" t="s">
        <v>772</v>
      </c>
      <c r="D11" s="240" t="s">
        <v>275</v>
      </c>
      <c r="E11" s="562" t="s">
        <v>778</v>
      </c>
      <c r="F11" s="110" t="s">
        <v>107</v>
      </c>
      <c r="H11" s="110" t="s">
        <v>105</v>
      </c>
      <c r="I11" s="503" t="s">
        <v>772</v>
      </c>
      <c r="J11" s="240" t="s">
        <v>275</v>
      </c>
      <c r="K11" s="504" t="s">
        <v>778</v>
      </c>
      <c r="L11" s="110" t="s">
        <v>107</v>
      </c>
    </row>
    <row r="12" spans="1:12" x14ac:dyDescent="0.25">
      <c r="A12" t="s">
        <v>865</v>
      </c>
      <c r="B12" s="395">
        <v>46007</v>
      </c>
      <c r="C12" s="238" t="s">
        <v>376</v>
      </c>
      <c r="D12" s="238" t="str">
        <f>IFERROR(VLOOKUP(C12,'Base de Monedas'!A:B,2,0),"")</f>
        <v>Guaraní</v>
      </c>
      <c r="E12" s="563">
        <v>12479628221</v>
      </c>
      <c r="F12" t="s">
        <v>870</v>
      </c>
      <c r="H12" s="395">
        <v>45642</v>
      </c>
      <c r="I12" s="238" t="s">
        <v>376</v>
      </c>
      <c r="J12" s="238" t="s">
        <v>688</v>
      </c>
      <c r="K12" s="374">
        <v>5325813685</v>
      </c>
      <c r="L12" t="s">
        <v>870</v>
      </c>
    </row>
    <row r="13" spans="1:12" x14ac:dyDescent="0.25">
      <c r="A13" t="s">
        <v>866</v>
      </c>
      <c r="B13" s="395">
        <v>46022</v>
      </c>
      <c r="C13" s="238" t="s">
        <v>376</v>
      </c>
      <c r="D13" s="238" t="str">
        <f>IFERROR(VLOOKUP(C13,'Base de Monedas'!A:B,2,0),"")</f>
        <v>Guaraní</v>
      </c>
      <c r="E13" s="574">
        <v>7298867173</v>
      </c>
      <c r="F13" t="s">
        <v>870</v>
      </c>
      <c r="H13" s="395">
        <v>45655</v>
      </c>
      <c r="I13" s="238" t="s">
        <v>376</v>
      </c>
      <c r="J13" s="238" t="s">
        <v>688</v>
      </c>
      <c r="K13" s="374">
        <v>4902738148</v>
      </c>
      <c r="L13" t="s">
        <v>870</v>
      </c>
    </row>
    <row r="14" spans="1:12" x14ac:dyDescent="0.25">
      <c r="A14" t="s">
        <v>1167</v>
      </c>
      <c r="B14" s="395"/>
      <c r="C14" s="238"/>
      <c r="D14" s="238"/>
      <c r="E14" s="574"/>
      <c r="H14" s="395">
        <v>45631</v>
      </c>
      <c r="I14" s="238" t="s">
        <v>376</v>
      </c>
      <c r="J14" s="238" t="s">
        <v>688</v>
      </c>
      <c r="K14" s="374">
        <v>3799007326</v>
      </c>
      <c r="L14" t="s">
        <v>870</v>
      </c>
    </row>
    <row r="15" spans="1:12" x14ac:dyDescent="0.25">
      <c r="A15" t="s">
        <v>867</v>
      </c>
      <c r="B15" s="395">
        <v>46022</v>
      </c>
      <c r="C15" s="238" t="s">
        <v>376</v>
      </c>
      <c r="D15" s="238" t="str">
        <f>IFERROR(VLOOKUP(C15,'Base de Monedas'!A:B,2,0),"")</f>
        <v>Guaraní</v>
      </c>
      <c r="E15" s="574">
        <v>4146220717</v>
      </c>
      <c r="F15" t="s">
        <v>870</v>
      </c>
      <c r="H15" s="395">
        <v>45640</v>
      </c>
      <c r="I15" s="238" t="s">
        <v>376</v>
      </c>
      <c r="J15" s="238" t="s">
        <v>688</v>
      </c>
      <c r="K15" s="374">
        <v>1250000000</v>
      </c>
      <c r="L15" t="s">
        <v>870</v>
      </c>
    </row>
    <row r="16" spans="1:12" x14ac:dyDescent="0.25">
      <c r="A16" t="s">
        <v>1211</v>
      </c>
      <c r="B16" s="395"/>
      <c r="C16" s="238"/>
      <c r="D16" s="238"/>
      <c r="E16" s="574"/>
      <c r="H16" s="395">
        <v>45651</v>
      </c>
      <c r="I16" s="238" t="s">
        <v>376</v>
      </c>
      <c r="J16" s="238" t="s">
        <v>688</v>
      </c>
      <c r="K16" s="374">
        <v>2400000000</v>
      </c>
      <c r="L16" t="s">
        <v>870</v>
      </c>
    </row>
    <row r="17" spans="1:12" x14ac:dyDescent="0.25">
      <c r="A17" t="s">
        <v>1009</v>
      </c>
      <c r="B17" s="395">
        <v>46013</v>
      </c>
      <c r="C17" s="238" t="s">
        <v>376</v>
      </c>
      <c r="D17" s="238" t="str">
        <f>IFERROR(VLOOKUP(C17,'Base de Monedas'!A:B,2,0),"")</f>
        <v>Guaraní</v>
      </c>
      <c r="E17" s="574">
        <v>2414285701</v>
      </c>
      <c r="F17" t="s">
        <v>870</v>
      </c>
      <c r="H17" s="395">
        <v>45601</v>
      </c>
      <c r="I17" s="238" t="s">
        <v>376</v>
      </c>
      <c r="J17" s="238" t="s">
        <v>688</v>
      </c>
      <c r="K17" s="374">
        <v>8395238107</v>
      </c>
      <c r="L17" t="s">
        <v>870</v>
      </c>
    </row>
    <row r="18" spans="1:12" x14ac:dyDescent="0.25">
      <c r="A18" t="s">
        <v>968</v>
      </c>
      <c r="B18" s="395">
        <v>46022</v>
      </c>
      <c r="C18" s="238" t="s">
        <v>376</v>
      </c>
      <c r="D18" s="238" t="s">
        <v>688</v>
      </c>
      <c r="E18" s="563">
        <v>1500000000</v>
      </c>
      <c r="F18" t="s">
        <v>870</v>
      </c>
      <c r="H18" s="395"/>
      <c r="I18" s="238"/>
      <c r="J18" s="238"/>
      <c r="K18" s="374">
        <v>0</v>
      </c>
    </row>
    <row r="19" spans="1:12" x14ac:dyDescent="0.25">
      <c r="A19" t="s">
        <v>843</v>
      </c>
      <c r="B19" s="395">
        <v>46022</v>
      </c>
      <c r="C19" s="238" t="s">
        <v>376</v>
      </c>
      <c r="D19" s="238" t="str">
        <f>IFERROR(VLOOKUP(C19,'Base de Monedas'!A:B,2,0),"")</f>
        <v>Guaraní</v>
      </c>
      <c r="E19" s="574">
        <v>11955463359</v>
      </c>
      <c r="F19" t="s">
        <v>870</v>
      </c>
      <c r="H19" s="395">
        <v>45654</v>
      </c>
      <c r="I19" s="238" t="s">
        <v>376</v>
      </c>
      <c r="J19" s="238" t="s">
        <v>688</v>
      </c>
      <c r="K19" s="374">
        <v>10138912527</v>
      </c>
      <c r="L19" t="s">
        <v>870</v>
      </c>
    </row>
    <row r="20" spans="1:12" x14ac:dyDescent="0.25">
      <c r="A20" t="s">
        <v>954</v>
      </c>
      <c r="B20" s="395"/>
      <c r="C20" s="238"/>
      <c r="D20" s="238"/>
      <c r="E20" s="574"/>
      <c r="H20" s="395">
        <v>45306</v>
      </c>
      <c r="I20" s="238" t="s">
        <v>376</v>
      </c>
      <c r="J20" s="238" t="s">
        <v>688</v>
      </c>
      <c r="K20" s="374">
        <v>37112601</v>
      </c>
      <c r="L20" t="s">
        <v>870</v>
      </c>
    </row>
    <row r="21" spans="1:12" x14ac:dyDescent="0.25">
      <c r="A21" t="s">
        <v>868</v>
      </c>
      <c r="B21" s="395">
        <v>45997</v>
      </c>
      <c r="C21" s="238" t="s">
        <v>376</v>
      </c>
      <c r="D21" s="238" t="str">
        <f>IFERROR(VLOOKUP(C21,'Base de Monedas'!A:B,2,0),"")</f>
        <v>Guaraní</v>
      </c>
      <c r="E21" s="574">
        <v>1165393220</v>
      </c>
      <c r="F21" t="s">
        <v>870</v>
      </c>
      <c r="H21" s="395">
        <v>45632</v>
      </c>
      <c r="I21" s="238" t="s">
        <v>376</v>
      </c>
      <c r="J21" s="238" t="s">
        <v>688</v>
      </c>
      <c r="K21" s="374">
        <v>1507226149</v>
      </c>
      <c r="L21" t="s">
        <v>870</v>
      </c>
    </row>
    <row r="22" spans="1:12" x14ac:dyDescent="0.25">
      <c r="A22" t="s">
        <v>869</v>
      </c>
      <c r="B22" s="395"/>
      <c r="C22" s="238"/>
      <c r="D22" s="238"/>
      <c r="E22" s="574"/>
      <c r="H22" s="395">
        <v>45650</v>
      </c>
      <c r="I22" s="238" t="s">
        <v>376</v>
      </c>
      <c r="J22" s="238" t="s">
        <v>688</v>
      </c>
      <c r="K22" s="374">
        <v>8670000000</v>
      </c>
      <c r="L22" t="s">
        <v>870</v>
      </c>
    </row>
    <row r="23" spans="1:12" x14ac:dyDescent="0.25">
      <c r="A23" t="s">
        <v>1124</v>
      </c>
      <c r="B23" s="395">
        <v>46018</v>
      </c>
      <c r="C23" s="238" t="s">
        <v>376</v>
      </c>
      <c r="D23" s="238" t="str">
        <f>IFERROR(VLOOKUP(C23,'Base de Monedas'!A:B,2,0),"")</f>
        <v>Guaraní</v>
      </c>
      <c r="E23" s="574">
        <v>1625000000</v>
      </c>
      <c r="F23" t="s">
        <v>870</v>
      </c>
      <c r="H23" s="395">
        <v>45653</v>
      </c>
      <c r="I23" s="238" t="s">
        <v>376</v>
      </c>
      <c r="J23" s="238" t="s">
        <v>688</v>
      </c>
      <c r="K23" s="374">
        <v>1625000000</v>
      </c>
      <c r="L23" t="s">
        <v>870</v>
      </c>
    </row>
    <row r="24" spans="1:12" x14ac:dyDescent="0.25">
      <c r="A24" t="s">
        <v>1231</v>
      </c>
      <c r="B24" s="395">
        <v>46011</v>
      </c>
      <c r="C24" s="238" t="s">
        <v>376</v>
      </c>
      <c r="D24" s="238" t="s">
        <v>688</v>
      </c>
      <c r="E24" s="574">
        <v>2002750000</v>
      </c>
      <c r="F24" t="s">
        <v>870</v>
      </c>
      <c r="H24" s="395"/>
      <c r="I24" s="238"/>
      <c r="J24" s="238"/>
      <c r="K24" s="374"/>
    </row>
    <row r="25" spans="1:12" x14ac:dyDescent="0.25">
      <c r="A25" t="s">
        <v>1127</v>
      </c>
      <c r="B25" s="395"/>
      <c r="C25" s="238"/>
      <c r="D25" s="238"/>
      <c r="E25" s="563"/>
      <c r="H25" s="395"/>
      <c r="I25" s="238"/>
      <c r="J25" s="238"/>
      <c r="K25" s="407"/>
    </row>
    <row r="26" spans="1:12" x14ac:dyDescent="0.25">
      <c r="A26" t="s">
        <v>1168</v>
      </c>
      <c r="B26" s="395"/>
      <c r="C26" s="238"/>
      <c r="D26" s="238"/>
      <c r="E26" s="563"/>
      <c r="H26" s="395">
        <v>45293</v>
      </c>
      <c r="I26" s="238" t="s">
        <v>376</v>
      </c>
      <c r="J26" s="238" t="s">
        <v>688</v>
      </c>
      <c r="K26" s="374">
        <v>125913131</v>
      </c>
      <c r="L26" t="s">
        <v>870</v>
      </c>
    </row>
    <row r="27" spans="1:12" x14ac:dyDescent="0.25">
      <c r="A27" t="s">
        <v>1169</v>
      </c>
      <c r="B27" s="395"/>
      <c r="C27" s="238"/>
      <c r="D27" s="238"/>
      <c r="E27" s="563"/>
      <c r="H27" s="395">
        <v>45293</v>
      </c>
      <c r="I27" s="238" t="s">
        <v>376</v>
      </c>
      <c r="J27" s="238" t="s">
        <v>688</v>
      </c>
      <c r="K27" s="374">
        <v>1261931212</v>
      </c>
      <c r="L27" t="s">
        <v>870</v>
      </c>
    </row>
    <row r="28" spans="1:12" x14ac:dyDescent="0.25">
      <c r="A28" t="s">
        <v>1170</v>
      </c>
      <c r="B28" s="395"/>
      <c r="C28" s="238"/>
      <c r="D28" s="238"/>
      <c r="E28" s="563"/>
      <c r="H28" s="395">
        <v>45293</v>
      </c>
      <c r="I28" s="238" t="s">
        <v>376</v>
      </c>
      <c r="J28" s="238" t="s">
        <v>688</v>
      </c>
      <c r="K28" s="374">
        <v>24833947</v>
      </c>
      <c r="L28" t="s">
        <v>870</v>
      </c>
    </row>
    <row r="29" spans="1:12" x14ac:dyDescent="0.25">
      <c r="A29" t="s">
        <v>1171</v>
      </c>
      <c r="B29" s="395"/>
      <c r="C29" s="238"/>
      <c r="D29" s="436"/>
      <c r="E29" s="488"/>
      <c r="H29" s="395">
        <v>45293</v>
      </c>
      <c r="I29" s="238" t="s">
        <v>375</v>
      </c>
      <c r="J29" s="238" t="s">
        <v>554</v>
      </c>
      <c r="K29" s="374">
        <v>1166114607</v>
      </c>
      <c r="L29" t="s">
        <v>870</v>
      </c>
    </row>
    <row r="30" spans="1:12" x14ac:dyDescent="0.25">
      <c r="A30" t="s">
        <v>1128</v>
      </c>
      <c r="B30" s="395"/>
      <c r="C30" s="238"/>
      <c r="D30" s="436"/>
      <c r="E30" s="488"/>
      <c r="H30" s="395"/>
      <c r="I30" s="238"/>
      <c r="J30" s="238"/>
      <c r="K30" s="488">
        <v>0</v>
      </c>
    </row>
    <row r="31" spans="1:12" x14ac:dyDescent="0.25">
      <c r="A31" t="s">
        <v>1172</v>
      </c>
      <c r="B31" s="395"/>
      <c r="C31" s="238"/>
      <c r="D31" s="436"/>
      <c r="E31" s="488"/>
      <c r="H31" s="395">
        <v>45293</v>
      </c>
      <c r="I31" s="238" t="s">
        <v>375</v>
      </c>
      <c r="J31" s="238" t="s">
        <v>554</v>
      </c>
      <c r="K31" s="488">
        <v>406325.22</v>
      </c>
      <c r="L31" t="s">
        <v>870</v>
      </c>
    </row>
    <row r="32" spans="1:12" x14ac:dyDescent="0.25">
      <c r="A32" s="84" t="s">
        <v>1179</v>
      </c>
      <c r="B32" s="395"/>
      <c r="C32" s="238"/>
      <c r="D32" s="436"/>
      <c r="E32" s="574"/>
      <c r="H32" s="395"/>
      <c r="I32" s="238"/>
      <c r="J32" s="238"/>
      <c r="K32" s="488"/>
    </row>
    <row r="33" spans="1:12" x14ac:dyDescent="0.25">
      <c r="A33" t="s">
        <v>1180</v>
      </c>
      <c r="B33" s="395">
        <v>45698</v>
      </c>
      <c r="C33" s="238" t="s">
        <v>376</v>
      </c>
      <c r="D33" s="238" t="str">
        <f>IFERROR(VLOOKUP(C33,'Base de Monedas'!A:B,2,0),"")</f>
        <v>Guaraní</v>
      </c>
      <c r="E33" s="574">
        <v>318873370</v>
      </c>
      <c r="F33" t="s">
        <v>870</v>
      </c>
      <c r="H33" s="395">
        <v>45372</v>
      </c>
      <c r="I33" s="238" t="s">
        <v>376</v>
      </c>
      <c r="J33" s="238" t="s">
        <v>688</v>
      </c>
      <c r="K33" s="488">
        <v>671286956</v>
      </c>
      <c r="L33" t="s">
        <v>870</v>
      </c>
    </row>
    <row r="34" spans="1:12" x14ac:dyDescent="0.25">
      <c r="A34" t="s">
        <v>1181</v>
      </c>
      <c r="B34" s="395">
        <v>45705</v>
      </c>
      <c r="C34" s="238" t="s">
        <v>375</v>
      </c>
      <c r="D34" s="436" t="str">
        <f>IFERROR(VLOOKUP(C34,'Base de Monedas'!A:B,2,0),"")</f>
        <v>Dólar estadounidense</v>
      </c>
      <c r="E34" s="488">
        <v>642413947.00999999</v>
      </c>
      <c r="F34" t="s">
        <v>870</v>
      </c>
      <c r="H34" s="395">
        <v>45382</v>
      </c>
      <c r="I34" s="238" t="s">
        <v>375</v>
      </c>
      <c r="J34" s="238" t="s">
        <v>554</v>
      </c>
      <c r="K34" s="488">
        <v>3877827329.9000001</v>
      </c>
      <c r="L34" t="s">
        <v>870</v>
      </c>
    </row>
    <row r="35" spans="1:12" x14ac:dyDescent="0.25">
      <c r="B35" s="395"/>
      <c r="C35" s="238"/>
      <c r="D35" s="238"/>
      <c r="E35" s="563"/>
      <c r="H35" s="395"/>
      <c r="I35" s="238"/>
      <c r="J35" s="238" t="str">
        <f>IFERROR(VLOOKUP(I35,'Base de Monedas'!A:B,2,0),"")</f>
        <v/>
      </c>
      <c r="K35" s="374"/>
    </row>
    <row r="36" spans="1:12" s="84" customFormat="1" x14ac:dyDescent="0.25">
      <c r="A36" s="84" t="s">
        <v>207</v>
      </c>
      <c r="C36" s="380"/>
      <c r="D36" s="380"/>
      <c r="E36" s="564"/>
      <c r="I36" s="380"/>
      <c r="J36" s="238" t="str">
        <f>IFERROR(VLOOKUP(I36,'Base de Monedas'!A:B,2,0),"")</f>
        <v/>
      </c>
      <c r="K36" s="397"/>
    </row>
    <row r="37" spans="1:12" x14ac:dyDescent="0.25">
      <c r="A37" s="363" t="s">
        <v>1070</v>
      </c>
      <c r="B37" s="395">
        <v>46010</v>
      </c>
      <c r="C37" s="238" t="s">
        <v>376</v>
      </c>
      <c r="D37" s="238" t="str">
        <f>IFERROR(VLOOKUP(C37,'Base de Monedas'!A:B,2,0),"")</f>
        <v>Guaraní</v>
      </c>
      <c r="E37" s="563">
        <v>2879496000</v>
      </c>
      <c r="F37" t="s">
        <v>870</v>
      </c>
      <c r="H37" s="395">
        <v>45645</v>
      </c>
      <c r="I37" s="238" t="s">
        <v>376</v>
      </c>
      <c r="J37" s="238" t="s">
        <v>688</v>
      </c>
      <c r="K37" s="374">
        <v>3952096670</v>
      </c>
      <c r="L37" t="s">
        <v>870</v>
      </c>
    </row>
    <row r="38" spans="1:12" x14ac:dyDescent="0.25">
      <c r="A38" s="548" t="s">
        <v>773</v>
      </c>
      <c r="B38" s="258"/>
      <c r="C38" s="259"/>
      <c r="D38" s="258" t="str">
        <f>IFERROR(VLOOKUP(C38,'Base de Monedas'!A:B,2,0),"")</f>
        <v/>
      </c>
      <c r="E38" s="567">
        <v>0</v>
      </c>
      <c r="F38" s="258"/>
      <c r="G38" s="258"/>
      <c r="H38" s="258"/>
      <c r="I38" s="259"/>
      <c r="J38" s="259" t="str">
        <f>IFERROR(VLOOKUP(I38,'Base de Monedas'!A:B,2,0),"")</f>
        <v/>
      </c>
      <c r="K38" s="258">
        <v>0</v>
      </c>
      <c r="L38" s="258"/>
    </row>
    <row r="39" spans="1:12" x14ac:dyDescent="0.25">
      <c r="A39" s="269"/>
      <c r="C39" s="238"/>
      <c r="D39" t="str">
        <f>IFERROR(VLOOKUP(C39,'Base de Monedas'!A:B,2,0),"")</f>
        <v/>
      </c>
      <c r="E39" s="574"/>
      <c r="I39" s="238"/>
      <c r="J39" t="str">
        <f>IFERROR(VLOOKUP(I39,'Base de Monedas'!G:H,2,0),"")</f>
        <v/>
      </c>
    </row>
    <row r="40" spans="1:12" x14ac:dyDescent="0.25">
      <c r="A40" s="84" t="s">
        <v>775</v>
      </c>
      <c r="C40" s="238"/>
      <c r="D40" s="238"/>
      <c r="E40" s="574"/>
      <c r="I40" s="238"/>
      <c r="J40" s="238"/>
    </row>
    <row r="41" spans="1:12" x14ac:dyDescent="0.25">
      <c r="A41" t="s">
        <v>871</v>
      </c>
      <c r="B41" s="395">
        <v>46007</v>
      </c>
      <c r="C41" s="238" t="s">
        <v>376</v>
      </c>
      <c r="D41" s="238" t="str">
        <f>IFERROR(VLOOKUP(C41,'Base de Monedas'!A:B,2,0),"")</f>
        <v>Guaraní</v>
      </c>
      <c r="E41" s="563">
        <v>4608910604</v>
      </c>
      <c r="F41" t="s">
        <v>870</v>
      </c>
      <c r="H41" s="395">
        <v>45642</v>
      </c>
      <c r="I41" s="238" t="s">
        <v>376</v>
      </c>
      <c r="J41" s="238" t="s">
        <v>688</v>
      </c>
      <c r="K41" s="563">
        <v>1395931099</v>
      </c>
      <c r="L41" t="s">
        <v>870</v>
      </c>
    </row>
    <row r="42" spans="1:12" x14ac:dyDescent="0.25">
      <c r="A42" t="s">
        <v>872</v>
      </c>
      <c r="B42" s="395">
        <v>46022</v>
      </c>
      <c r="C42" s="238" t="s">
        <v>376</v>
      </c>
      <c r="D42" s="238" t="str">
        <f>IFERROR(VLOOKUP(C42,'Base de Monedas'!A:B,2,0),"")</f>
        <v>Guaraní</v>
      </c>
      <c r="E42" s="563">
        <v>1077667469</v>
      </c>
      <c r="F42" t="s">
        <v>870</v>
      </c>
      <c r="H42" s="395">
        <v>45655</v>
      </c>
      <c r="I42" s="238" t="s">
        <v>376</v>
      </c>
      <c r="J42" s="238" t="s">
        <v>688</v>
      </c>
      <c r="K42" s="563">
        <v>598807808</v>
      </c>
      <c r="L42" t="s">
        <v>870</v>
      </c>
    </row>
    <row r="43" spans="1:12" x14ac:dyDescent="0.25">
      <c r="A43" t="s">
        <v>1173</v>
      </c>
      <c r="B43" s="395"/>
      <c r="C43" s="238"/>
      <c r="D43" s="238"/>
      <c r="E43" s="574"/>
      <c r="H43" s="395">
        <v>45631</v>
      </c>
      <c r="I43" s="238" t="s">
        <v>376</v>
      </c>
      <c r="J43" s="238" t="s">
        <v>688</v>
      </c>
      <c r="K43" s="559">
        <v>349381110</v>
      </c>
      <c r="L43" t="s">
        <v>870</v>
      </c>
    </row>
    <row r="44" spans="1:12" x14ac:dyDescent="0.25">
      <c r="A44" t="s">
        <v>873</v>
      </c>
      <c r="B44" s="395">
        <v>46022</v>
      </c>
      <c r="C44" s="238" t="s">
        <v>376</v>
      </c>
      <c r="D44" s="238" t="str">
        <f>IFERROR(VLOOKUP(C44,'Base de Monedas'!A:B,2,0),"")</f>
        <v>Guaraní</v>
      </c>
      <c r="E44" s="574">
        <v>727196553</v>
      </c>
      <c r="F44" t="s">
        <v>870</v>
      </c>
      <c r="H44" s="395">
        <v>45640</v>
      </c>
      <c r="I44" s="238" t="s">
        <v>376</v>
      </c>
      <c r="J44" s="238" t="s">
        <v>688</v>
      </c>
      <c r="K44" s="574">
        <v>91656678</v>
      </c>
      <c r="L44" t="s">
        <v>870</v>
      </c>
    </row>
    <row r="45" spans="1:12" x14ac:dyDescent="0.25">
      <c r="A45" t="s">
        <v>1174</v>
      </c>
      <c r="B45" s="395"/>
      <c r="C45" s="238"/>
      <c r="D45" s="238"/>
      <c r="E45" s="574"/>
      <c r="H45" s="395">
        <v>45651</v>
      </c>
      <c r="I45" s="238" t="s">
        <v>376</v>
      </c>
      <c r="J45" s="238" t="s">
        <v>688</v>
      </c>
      <c r="K45" s="559">
        <v>935331507</v>
      </c>
      <c r="L45" t="s">
        <v>870</v>
      </c>
    </row>
    <row r="46" spans="1:12" x14ac:dyDescent="0.25">
      <c r="A46" t="s">
        <v>1010</v>
      </c>
      <c r="B46" s="395">
        <v>46013</v>
      </c>
      <c r="C46" s="238" t="s">
        <v>376</v>
      </c>
      <c r="D46" s="238" t="str">
        <f>IFERROR(VLOOKUP(C46,'Base de Monedas'!A:B,2,0),"")</f>
        <v>Guaraní</v>
      </c>
      <c r="E46" s="574">
        <v>45953822</v>
      </c>
      <c r="F46" t="s">
        <v>870</v>
      </c>
      <c r="H46" s="395">
        <v>45601</v>
      </c>
      <c r="I46" s="238" t="s">
        <v>376</v>
      </c>
      <c r="J46" s="238" t="s">
        <v>688</v>
      </c>
      <c r="K46" s="574">
        <v>438099933</v>
      </c>
      <c r="L46" t="s">
        <v>870</v>
      </c>
    </row>
    <row r="47" spans="1:12" x14ac:dyDescent="0.25">
      <c r="A47" t="s">
        <v>1071</v>
      </c>
      <c r="B47" s="395">
        <v>46022</v>
      </c>
      <c r="C47" s="238" t="s">
        <v>376</v>
      </c>
      <c r="D47" s="238" t="s">
        <v>688</v>
      </c>
      <c r="E47" s="574">
        <v>110393664</v>
      </c>
      <c r="F47" t="s">
        <v>870</v>
      </c>
      <c r="H47" s="395"/>
      <c r="I47" s="238"/>
      <c r="J47" s="238"/>
      <c r="K47" s="574">
        <v>0</v>
      </c>
    </row>
    <row r="48" spans="1:12" x14ac:dyDescent="0.25">
      <c r="A48" t="s">
        <v>874</v>
      </c>
      <c r="B48" s="395">
        <v>46022</v>
      </c>
      <c r="C48" s="238" t="s">
        <v>376</v>
      </c>
      <c r="D48" s="238" t="str">
        <f>IFERROR(VLOOKUP(C48,'Base de Monedas'!A:B,2,0),"")</f>
        <v>Guaraní</v>
      </c>
      <c r="E48" s="574">
        <v>925068423</v>
      </c>
      <c r="F48" t="s">
        <v>870</v>
      </c>
      <c r="H48" s="395">
        <v>45654</v>
      </c>
      <c r="I48" s="238" t="s">
        <v>376</v>
      </c>
      <c r="J48" s="238" t="s">
        <v>688</v>
      </c>
      <c r="K48" s="574">
        <v>825327592</v>
      </c>
      <c r="L48" t="s">
        <v>870</v>
      </c>
    </row>
    <row r="49" spans="1:12" x14ac:dyDescent="0.25">
      <c r="A49" t="s">
        <v>875</v>
      </c>
      <c r="B49" s="395"/>
      <c r="C49" s="238"/>
      <c r="D49" s="238"/>
      <c r="E49" s="574"/>
      <c r="H49" s="395">
        <v>45306</v>
      </c>
      <c r="I49" s="238" t="s">
        <v>376</v>
      </c>
      <c r="J49" s="238" t="s">
        <v>688</v>
      </c>
      <c r="K49" s="574">
        <v>307322</v>
      </c>
      <c r="L49" t="s">
        <v>870</v>
      </c>
    </row>
    <row r="50" spans="1:12" x14ac:dyDescent="0.25">
      <c r="A50" t="s">
        <v>876</v>
      </c>
      <c r="B50" s="395">
        <v>45997</v>
      </c>
      <c r="C50" s="238" t="s">
        <v>376</v>
      </c>
      <c r="D50" s="238" t="str">
        <f>IFERROR(VLOOKUP(C50,'Base de Monedas'!A:B,2,0),"")</f>
        <v>Guaraní</v>
      </c>
      <c r="E50" s="574">
        <v>51163626</v>
      </c>
      <c r="F50" t="s">
        <v>870</v>
      </c>
      <c r="H50" s="395">
        <v>45632</v>
      </c>
      <c r="I50" s="238" t="s">
        <v>376</v>
      </c>
      <c r="J50" s="238" t="s">
        <v>688</v>
      </c>
      <c r="K50" s="559">
        <v>208520622</v>
      </c>
      <c r="L50" t="s">
        <v>870</v>
      </c>
    </row>
    <row r="51" spans="1:12" x14ac:dyDescent="0.25">
      <c r="A51" t="s">
        <v>877</v>
      </c>
      <c r="B51" s="395"/>
      <c r="C51" s="238"/>
      <c r="D51" s="238"/>
      <c r="E51" s="574"/>
      <c r="H51" s="395">
        <v>45650</v>
      </c>
      <c r="I51" s="238" t="s">
        <v>376</v>
      </c>
      <c r="J51" s="238" t="s">
        <v>688</v>
      </c>
      <c r="K51" s="574">
        <v>567562600</v>
      </c>
      <c r="L51" t="s">
        <v>870</v>
      </c>
    </row>
    <row r="52" spans="1:12" x14ac:dyDescent="0.25">
      <c r="A52" t="s">
        <v>1125</v>
      </c>
      <c r="B52" s="395">
        <v>46018</v>
      </c>
      <c r="C52" s="238" t="s">
        <v>376</v>
      </c>
      <c r="D52" s="238" t="str">
        <f>IFERROR(VLOOKUP(C52,'Base de Monedas'!A:B,2,0),"")</f>
        <v>Guaraní</v>
      </c>
      <c r="E52" s="574">
        <v>1531529999</v>
      </c>
      <c r="F52" t="s">
        <v>870</v>
      </c>
      <c r="H52" s="395">
        <v>45653</v>
      </c>
      <c r="I52" s="238" t="s">
        <v>376</v>
      </c>
      <c r="J52" s="238" t="s">
        <v>688</v>
      </c>
      <c r="K52" s="559">
        <v>1562318631</v>
      </c>
      <c r="L52" t="s">
        <v>870</v>
      </c>
    </row>
    <row r="53" spans="1:12" x14ac:dyDescent="0.25">
      <c r="A53" t="s">
        <v>1233</v>
      </c>
      <c r="B53" s="395">
        <v>46011</v>
      </c>
      <c r="C53" s="238" t="s">
        <v>376</v>
      </c>
      <c r="D53" s="238" t="str">
        <f>IFERROR(VLOOKUP(C53,'Base de Monedas'!A:B,2,0),"")</f>
        <v>Guaraní</v>
      </c>
      <c r="E53" s="585">
        <v>239284727</v>
      </c>
      <c r="F53" t="s">
        <v>870</v>
      </c>
      <c r="H53" s="395"/>
      <c r="I53" s="238"/>
      <c r="J53" s="436"/>
      <c r="K53" s="488"/>
    </row>
    <row r="54" spans="1:12" x14ac:dyDescent="0.25">
      <c r="A54" t="s">
        <v>1175</v>
      </c>
      <c r="B54" s="395">
        <v>45705</v>
      </c>
      <c r="C54" s="238" t="s">
        <v>375</v>
      </c>
      <c r="D54" s="436" t="s">
        <v>554</v>
      </c>
      <c r="E54" s="488">
        <v>7649677.5</v>
      </c>
      <c r="F54" t="s">
        <v>870</v>
      </c>
      <c r="H54" s="395">
        <v>45351</v>
      </c>
      <c r="I54" s="238" t="s">
        <v>375</v>
      </c>
      <c r="J54" s="436" t="s">
        <v>554</v>
      </c>
      <c r="K54" s="488">
        <v>67670001</v>
      </c>
      <c r="L54" t="s">
        <v>870</v>
      </c>
    </row>
    <row r="55" spans="1:12" s="84" customFormat="1" x14ac:dyDescent="0.25">
      <c r="A55" s="84" t="s">
        <v>776</v>
      </c>
      <c r="B55" s="410"/>
      <c r="C55" s="380"/>
      <c r="D55" s="380"/>
      <c r="E55" s="564"/>
      <c r="H55" s="410"/>
      <c r="I55" s="380"/>
      <c r="J55" s="380"/>
      <c r="K55" s="564"/>
    </row>
    <row r="56" spans="1:12" x14ac:dyDescent="0.25">
      <c r="A56" t="s">
        <v>878</v>
      </c>
      <c r="B56" s="395">
        <v>46007</v>
      </c>
      <c r="C56" s="238" t="s">
        <v>376</v>
      </c>
      <c r="D56" s="238" t="str">
        <f>IFERROR(VLOOKUP(C56,'Base de Monedas'!A:B,2,0),"")</f>
        <v>Guaraní</v>
      </c>
      <c r="E56" s="574">
        <v>-2735530341.3499999</v>
      </c>
      <c r="F56" t="s">
        <v>870</v>
      </c>
      <c r="H56" s="395">
        <v>45657</v>
      </c>
      <c r="I56" s="238" t="s">
        <v>376</v>
      </c>
      <c r="J56" s="238" t="s">
        <v>688</v>
      </c>
      <c r="K56" s="559">
        <v>-1099760769.9000001</v>
      </c>
      <c r="L56" t="s">
        <v>870</v>
      </c>
    </row>
    <row r="57" spans="1:12" x14ac:dyDescent="0.25">
      <c r="A57" t="s">
        <v>879</v>
      </c>
      <c r="B57" s="395">
        <v>46022</v>
      </c>
      <c r="C57" s="238" t="s">
        <v>376</v>
      </c>
      <c r="D57" s="238" t="str">
        <f>IFERROR(VLOOKUP(C57,'Base de Monedas'!A:B,2,0),"")</f>
        <v>Guaraní</v>
      </c>
      <c r="E57" s="574">
        <v>-926763583.65999997</v>
      </c>
      <c r="F57" t="s">
        <v>870</v>
      </c>
      <c r="H57" s="395">
        <v>45657</v>
      </c>
      <c r="I57" s="238" t="s">
        <v>376</v>
      </c>
      <c r="J57" s="238" t="s">
        <v>688</v>
      </c>
      <c r="K57" s="559">
        <v>-590647892.13</v>
      </c>
      <c r="L57" t="s">
        <v>870</v>
      </c>
    </row>
    <row r="58" spans="1:12" x14ac:dyDescent="0.25">
      <c r="A58" t="s">
        <v>1176</v>
      </c>
      <c r="B58" s="395"/>
      <c r="C58" s="238"/>
      <c r="D58" s="238"/>
      <c r="E58" s="574"/>
      <c r="H58" s="395">
        <v>45657</v>
      </c>
      <c r="I58" s="238" t="s">
        <v>376</v>
      </c>
      <c r="J58" s="238" t="s">
        <v>688</v>
      </c>
      <c r="K58" s="559">
        <v>-442367633.51999998</v>
      </c>
      <c r="L58" t="s">
        <v>870</v>
      </c>
    </row>
    <row r="59" spans="1:12" x14ac:dyDescent="0.25">
      <c r="A59" t="s">
        <v>880</v>
      </c>
      <c r="B59" s="395">
        <v>46022</v>
      </c>
      <c r="C59" s="238" t="s">
        <v>376</v>
      </c>
      <c r="D59" s="238" t="str">
        <f>IFERROR(VLOOKUP(C59,'Base de Monedas'!A:B,2,0),"")</f>
        <v>Guaraní</v>
      </c>
      <c r="E59" s="574">
        <v>-480232696.30000001</v>
      </c>
      <c r="F59" t="s">
        <v>870</v>
      </c>
      <c r="H59" s="395">
        <v>45657</v>
      </c>
      <c r="I59" s="238" t="s">
        <v>376</v>
      </c>
      <c r="J59" s="238" t="s">
        <v>688</v>
      </c>
      <c r="K59" s="559">
        <v>-157151535.5</v>
      </c>
      <c r="L59" t="s">
        <v>870</v>
      </c>
    </row>
    <row r="60" spans="1:12" x14ac:dyDescent="0.25">
      <c r="A60" t="s">
        <v>1177</v>
      </c>
      <c r="B60" s="395"/>
      <c r="C60" s="238"/>
      <c r="D60" s="238"/>
      <c r="E60" s="574"/>
      <c r="H60" s="395">
        <v>45657</v>
      </c>
      <c r="I60" s="238" t="s">
        <v>376</v>
      </c>
      <c r="J60" s="238" t="s">
        <v>688</v>
      </c>
      <c r="K60" s="559">
        <v>-828494118.90999997</v>
      </c>
      <c r="L60" t="s">
        <v>870</v>
      </c>
    </row>
    <row r="61" spans="1:12" x14ac:dyDescent="0.25">
      <c r="A61" t="s">
        <v>964</v>
      </c>
      <c r="B61" s="395">
        <v>46013</v>
      </c>
      <c r="C61" s="238" t="s">
        <v>376</v>
      </c>
      <c r="D61" s="238" t="str">
        <f>IFERROR(VLOOKUP(C61,'Base de Monedas'!A:B,2,0),"")</f>
        <v>Guaraní</v>
      </c>
      <c r="E61" s="574">
        <v>-127865006.08</v>
      </c>
      <c r="F61" t="s">
        <v>870</v>
      </c>
      <c r="H61" s="395">
        <v>45657</v>
      </c>
      <c r="I61" s="238" t="s">
        <v>376</v>
      </c>
      <c r="J61" s="238" t="s">
        <v>688</v>
      </c>
      <c r="K61" s="559">
        <v>-563015490.34000003</v>
      </c>
      <c r="L61" t="s">
        <v>870</v>
      </c>
    </row>
    <row r="62" spans="1:12" x14ac:dyDescent="0.25">
      <c r="A62" t="s">
        <v>970</v>
      </c>
      <c r="B62" s="395">
        <v>46022</v>
      </c>
      <c r="C62" s="238" t="s">
        <v>376</v>
      </c>
      <c r="D62" s="238" t="s">
        <v>688</v>
      </c>
      <c r="E62" s="563">
        <v>-167968748.99000001</v>
      </c>
      <c r="F62" t="s">
        <v>870</v>
      </c>
      <c r="H62" s="395"/>
      <c r="I62" s="238"/>
      <c r="J62" s="238"/>
      <c r="K62" s="563"/>
    </row>
    <row r="63" spans="1:12" x14ac:dyDescent="0.25">
      <c r="A63" t="s">
        <v>1011</v>
      </c>
      <c r="B63" s="395">
        <v>46022</v>
      </c>
      <c r="C63" s="238" t="s">
        <v>376</v>
      </c>
      <c r="D63" s="238" t="str">
        <f>IFERROR(VLOOKUP(C63,'Base de Monedas'!A:B,2,0),"")</f>
        <v>Guaraní</v>
      </c>
      <c r="E63" s="574">
        <v>-792677180.19000006</v>
      </c>
      <c r="F63" t="s">
        <v>870</v>
      </c>
      <c r="H63" s="395">
        <v>45657</v>
      </c>
      <c r="I63" s="238" t="s">
        <v>376</v>
      </c>
      <c r="J63" s="238" t="s">
        <v>688</v>
      </c>
      <c r="K63" s="559">
        <v>-764023267.26999998</v>
      </c>
      <c r="L63" t="s">
        <v>870</v>
      </c>
    </row>
    <row r="64" spans="1:12" x14ac:dyDescent="0.25">
      <c r="A64" t="s">
        <v>881</v>
      </c>
      <c r="B64" s="395"/>
      <c r="C64" s="238"/>
      <c r="D64" s="238"/>
      <c r="E64" s="574"/>
      <c r="H64" s="395">
        <v>45657</v>
      </c>
      <c r="I64" s="238" t="s">
        <v>376</v>
      </c>
      <c r="J64" s="238" t="s">
        <v>688</v>
      </c>
      <c r="K64" s="559">
        <v>-1780988.16</v>
      </c>
      <c r="L64" t="s">
        <v>870</v>
      </c>
    </row>
    <row r="65" spans="1:12" x14ac:dyDescent="0.25">
      <c r="A65" t="s">
        <v>882</v>
      </c>
      <c r="B65" s="395">
        <v>45997</v>
      </c>
      <c r="C65" s="238" t="s">
        <v>376</v>
      </c>
      <c r="D65" s="238" t="str">
        <f>IFERROR(VLOOKUP(C65,'Base de Monedas'!A:B,2,0),"")</f>
        <v>Guaraní</v>
      </c>
      <c r="E65" s="574">
        <v>-108373933.83</v>
      </c>
      <c r="F65" t="s">
        <v>870</v>
      </c>
      <c r="H65" s="395">
        <v>45657</v>
      </c>
      <c r="I65" s="238" t="s">
        <v>376</v>
      </c>
      <c r="J65" s="238" t="s">
        <v>688</v>
      </c>
      <c r="K65" s="559">
        <v>-181948897.99000001</v>
      </c>
      <c r="L65" t="s">
        <v>870</v>
      </c>
    </row>
    <row r="66" spans="1:12" x14ac:dyDescent="0.25">
      <c r="A66" t="s">
        <v>883</v>
      </c>
      <c r="B66" s="395"/>
      <c r="C66" s="238"/>
      <c r="D66" s="238"/>
      <c r="E66" s="574"/>
      <c r="H66" s="395">
        <v>45657</v>
      </c>
      <c r="I66" s="238" t="s">
        <v>376</v>
      </c>
      <c r="J66" s="238" t="s">
        <v>688</v>
      </c>
      <c r="K66" s="559">
        <v>-526732886.87</v>
      </c>
      <c r="L66" t="s">
        <v>870</v>
      </c>
    </row>
    <row r="67" spans="1:12" x14ac:dyDescent="0.25">
      <c r="A67" t="s">
        <v>1126</v>
      </c>
      <c r="B67" s="395">
        <v>46018</v>
      </c>
      <c r="C67" s="238" t="s">
        <v>376</v>
      </c>
      <c r="D67" s="238" t="str">
        <f>IFERROR(VLOOKUP(C67,'Base de Monedas'!A:B,2,0),"")</f>
        <v>Guaraní</v>
      </c>
      <c r="E67" s="574">
        <v>-1331896000.3399999</v>
      </c>
      <c r="F67" t="s">
        <v>870</v>
      </c>
      <c r="H67" s="395">
        <v>45657</v>
      </c>
      <c r="I67" s="238" t="s">
        <v>376</v>
      </c>
      <c r="J67" s="238" t="s">
        <v>688</v>
      </c>
      <c r="K67" s="559">
        <v>-1335545030.02</v>
      </c>
      <c r="L67" t="s">
        <v>870</v>
      </c>
    </row>
    <row r="68" spans="1:12" x14ac:dyDescent="0.25">
      <c r="A68" t="s">
        <v>1232</v>
      </c>
      <c r="B68" s="395">
        <v>46011</v>
      </c>
      <c r="C68" s="238" t="s">
        <v>376</v>
      </c>
      <c r="D68" s="238" t="s">
        <v>688</v>
      </c>
      <c r="E68" s="574">
        <v>-202871027.77000001</v>
      </c>
      <c r="F68" t="s">
        <v>870</v>
      </c>
      <c r="H68" s="395"/>
      <c r="I68" s="238"/>
      <c r="J68" s="238"/>
      <c r="K68" s="559"/>
    </row>
    <row r="69" spans="1:12" x14ac:dyDescent="0.25">
      <c r="A69" t="s">
        <v>1178</v>
      </c>
      <c r="B69" s="395">
        <v>45705</v>
      </c>
      <c r="C69" s="238" t="s">
        <v>375</v>
      </c>
      <c r="D69" s="436" t="str">
        <f>IFERROR(VLOOKUP(C69,'Base de Monedas'!A:B,2,0),"")</f>
        <v>Dólar estadounidense</v>
      </c>
      <c r="E69" s="488">
        <v>-6427864.1299999999</v>
      </c>
      <c r="F69" t="s">
        <v>870</v>
      </c>
      <c r="H69" s="395">
        <v>45351</v>
      </c>
      <c r="I69" s="238" t="s">
        <v>375</v>
      </c>
      <c r="J69" s="436" t="s">
        <v>554</v>
      </c>
      <c r="K69" s="488">
        <v>-17962337.199999999</v>
      </c>
      <c r="L69" t="s">
        <v>870</v>
      </c>
    </row>
    <row r="70" spans="1:12" x14ac:dyDescent="0.25">
      <c r="A70" s="84" t="s">
        <v>108</v>
      </c>
      <c r="B70" s="395"/>
      <c r="C70" s="238"/>
      <c r="D70" s="238" t="str">
        <f>IFERROR(VLOOKUP(C70,'Base de Monedas'!A:B,2,0),"")</f>
        <v/>
      </c>
      <c r="H70" s="395"/>
      <c r="I70" s="238"/>
      <c r="J70" s="238" t="s">
        <v>1221</v>
      </c>
    </row>
    <row r="71" spans="1:12" x14ac:dyDescent="0.25">
      <c r="A71" s="363" t="s">
        <v>1068</v>
      </c>
      <c r="B71" s="395">
        <v>46010</v>
      </c>
      <c r="C71" s="238" t="s">
        <v>376</v>
      </c>
      <c r="D71" s="238" t="str">
        <f>IFERROR(VLOOKUP(C71,'Base de Monedas'!A:B,2,0),"")</f>
        <v>Guaraní</v>
      </c>
      <c r="E71" s="563">
        <v>158284902</v>
      </c>
      <c r="F71" t="s">
        <v>870</v>
      </c>
      <c r="H71" s="395">
        <v>45645</v>
      </c>
      <c r="I71" s="238" t="s">
        <v>376</v>
      </c>
      <c r="J71" s="238" t="s">
        <v>688</v>
      </c>
      <c r="K71" s="563">
        <v>505853850</v>
      </c>
      <c r="L71" t="s">
        <v>870</v>
      </c>
    </row>
    <row r="72" spans="1:12" x14ac:dyDescent="0.25">
      <c r="A72" s="84" t="s">
        <v>1237</v>
      </c>
      <c r="B72" s="395"/>
      <c r="C72" s="238"/>
      <c r="D72" s="238"/>
      <c r="E72" s="563"/>
      <c r="H72" s="395"/>
      <c r="I72" s="238"/>
      <c r="J72" s="238"/>
      <c r="K72" s="563"/>
    </row>
    <row r="73" spans="1:12" x14ac:dyDescent="0.25">
      <c r="A73" s="364" t="s">
        <v>1069</v>
      </c>
      <c r="B73" s="396">
        <v>46022</v>
      </c>
      <c r="C73" s="259" t="s">
        <v>376</v>
      </c>
      <c r="D73" s="259" t="str">
        <f>IFERROR(VLOOKUP(C73,'Base de Monedas'!A:B,2,0),"")</f>
        <v>Guaraní</v>
      </c>
      <c r="E73" s="565">
        <v>-147240260</v>
      </c>
      <c r="F73" s="258" t="s">
        <v>870</v>
      </c>
      <c r="G73" s="258"/>
      <c r="H73" s="396">
        <v>45657</v>
      </c>
      <c r="I73" s="259" t="s">
        <v>376</v>
      </c>
      <c r="J73" s="259" t="s">
        <v>688</v>
      </c>
      <c r="K73" s="565">
        <v>-493556469</v>
      </c>
      <c r="L73" s="258" t="s">
        <v>870</v>
      </c>
    </row>
    <row r="74" spans="1:12" s="84" customFormat="1" x14ac:dyDescent="0.25">
      <c r="A74" s="84" t="s">
        <v>2</v>
      </c>
      <c r="C74" s="380"/>
      <c r="D74" s="84" t="str">
        <f>IFERROR(VLOOKUP(C74,'Base de Monedas'!A:B,2,0),"")</f>
        <v/>
      </c>
      <c r="E74" s="566">
        <f>SUM($E$12:E73)</f>
        <v>50883648531.870003</v>
      </c>
      <c r="I74" s="380"/>
      <c r="J74" s="84" t="str">
        <f>IFERROR(VLOOKUP(I74,'Base de Monedas'!G:H,2,0),"")</f>
        <v/>
      </c>
      <c r="K74" s="383">
        <f>SUM($K$12:K73)</f>
        <v>59675240157.310013</v>
      </c>
    </row>
    <row r="75" spans="1:12" x14ac:dyDescent="0.25">
      <c r="A75" s="84"/>
    </row>
    <row r="77" spans="1:12" x14ac:dyDescent="0.25">
      <c r="A77" s="84" t="s">
        <v>769</v>
      </c>
      <c r="D77" s="198"/>
      <c r="E77" s="560"/>
      <c r="J77" s="198"/>
      <c r="K77" s="198"/>
      <c r="L77" s="198"/>
    </row>
    <row r="78" spans="1:12" x14ac:dyDescent="0.25">
      <c r="A78" s="19"/>
      <c r="B78" s="573"/>
      <c r="C78" s="323"/>
      <c r="D78" s="306">
        <f>IFERROR(YEAR(Indice!B6),"2XX2")</f>
        <v>2024</v>
      </c>
      <c r="E78" s="561"/>
      <c r="F78" s="323"/>
      <c r="H78" s="323"/>
      <c r="I78" s="323"/>
      <c r="J78" s="306">
        <f>IFERROR(YEAR(Indice!B6-366),"2XX2")</f>
        <v>2023</v>
      </c>
      <c r="K78" s="323"/>
      <c r="L78" s="323"/>
    </row>
    <row r="79" spans="1:12" ht="44.45" customHeight="1" x14ac:dyDescent="0.25">
      <c r="A79" s="109" t="s">
        <v>774</v>
      </c>
      <c r="B79" s="110"/>
      <c r="C79" s="503" t="s">
        <v>772</v>
      </c>
      <c r="D79" s="240" t="s">
        <v>275</v>
      </c>
      <c r="E79" s="562" t="s">
        <v>778</v>
      </c>
      <c r="F79" s="110" t="s">
        <v>106</v>
      </c>
      <c r="H79" s="110" t="s">
        <v>105</v>
      </c>
      <c r="I79" s="503" t="s">
        <v>772</v>
      </c>
      <c r="J79" s="240" t="s">
        <v>275</v>
      </c>
      <c r="K79" s="504" t="s">
        <v>778</v>
      </c>
      <c r="L79" s="110" t="s">
        <v>107</v>
      </c>
    </row>
    <row r="80" spans="1:12" x14ac:dyDescent="0.25">
      <c r="A80" t="s">
        <v>920</v>
      </c>
      <c r="B80" s="395">
        <v>47401</v>
      </c>
      <c r="C80" s="238" t="s">
        <v>376</v>
      </c>
      <c r="D80" s="238" t="str">
        <f>IFERROR(VLOOKUP(C80,'Base de Monedas'!A:B,2,0),"")</f>
        <v>Guaraní</v>
      </c>
      <c r="E80" s="574">
        <v>35163899152</v>
      </c>
      <c r="F80" t="s">
        <v>870</v>
      </c>
      <c r="H80" s="395">
        <v>47056</v>
      </c>
      <c r="I80" s="238" t="s">
        <v>376</v>
      </c>
      <c r="J80" s="238" t="s">
        <v>688</v>
      </c>
      <c r="K80" s="374">
        <v>11263793272</v>
      </c>
      <c r="L80" t="s">
        <v>870</v>
      </c>
    </row>
    <row r="81" spans="1:12" x14ac:dyDescent="0.25">
      <c r="A81" t="s">
        <v>955</v>
      </c>
      <c r="B81" s="395">
        <v>46703</v>
      </c>
      <c r="C81" s="238" t="s">
        <v>376</v>
      </c>
      <c r="D81" s="238" t="str">
        <f>IFERROR(VLOOKUP(C81,'Base de Monedas'!A:B,2,0),"")</f>
        <v>Guaraní</v>
      </c>
      <c r="E81" s="574">
        <v>8076310449</v>
      </c>
      <c r="F81" t="s">
        <v>870</v>
      </c>
      <c r="H81" s="395">
        <v>45918</v>
      </c>
      <c r="I81" s="238" t="s">
        <v>376</v>
      </c>
      <c r="J81" s="238" t="s">
        <v>688</v>
      </c>
      <c r="K81" s="374">
        <v>2908876672</v>
      </c>
      <c r="L81" t="s">
        <v>870</v>
      </c>
    </row>
    <row r="82" spans="1:12" x14ac:dyDescent="0.25">
      <c r="A82" t="s">
        <v>1182</v>
      </c>
      <c r="B82" s="395"/>
      <c r="C82" s="238"/>
      <c r="D82" s="238"/>
      <c r="E82" s="574"/>
      <c r="H82" s="395">
        <v>45721</v>
      </c>
      <c r="I82" s="238" t="s">
        <v>376</v>
      </c>
      <c r="J82" s="238" t="s">
        <v>688</v>
      </c>
      <c r="K82" s="374">
        <v>1011653218</v>
      </c>
      <c r="L82" t="s">
        <v>870</v>
      </c>
    </row>
    <row r="83" spans="1:12" x14ac:dyDescent="0.25">
      <c r="A83" t="s">
        <v>921</v>
      </c>
      <c r="B83" s="395">
        <v>46627</v>
      </c>
      <c r="C83" s="238" t="s">
        <v>376</v>
      </c>
      <c r="D83" s="238" t="str">
        <f>IFERROR(VLOOKUP(C83,'Base de Monedas'!A:B,2,0),"")</f>
        <v>Guaraní</v>
      </c>
      <c r="E83" s="574">
        <v>4875693165</v>
      </c>
      <c r="F83" t="s">
        <v>870</v>
      </c>
      <c r="H83" s="395"/>
      <c r="I83" s="238"/>
      <c r="J83" s="238" t="s">
        <v>1221</v>
      </c>
      <c r="K83" s="374">
        <v>0</v>
      </c>
    </row>
    <row r="84" spans="1:12" x14ac:dyDescent="0.25">
      <c r="A84" t="s">
        <v>1183</v>
      </c>
      <c r="B84" s="395"/>
      <c r="C84" s="238"/>
      <c r="D84" s="238"/>
      <c r="E84" s="574"/>
      <c r="H84" s="395">
        <v>45985</v>
      </c>
      <c r="I84" s="238" t="s">
        <v>376</v>
      </c>
      <c r="J84" s="238" t="s">
        <v>688</v>
      </c>
      <c r="K84" s="374">
        <v>7100000000</v>
      </c>
      <c r="L84" t="s">
        <v>870</v>
      </c>
    </row>
    <row r="85" spans="1:12" x14ac:dyDescent="0.25">
      <c r="A85" t="s">
        <v>1132</v>
      </c>
      <c r="B85" s="395"/>
      <c r="C85" s="238"/>
      <c r="D85" s="238"/>
      <c r="E85" s="574"/>
      <c r="H85" s="395">
        <v>45769</v>
      </c>
      <c r="I85" s="238" t="s">
        <v>376</v>
      </c>
      <c r="J85" s="238" t="s">
        <v>688</v>
      </c>
      <c r="K85" s="374">
        <v>514285701</v>
      </c>
      <c r="L85" t="s">
        <v>870</v>
      </c>
    </row>
    <row r="86" spans="1:12" x14ac:dyDescent="0.25">
      <c r="A86" t="s">
        <v>968</v>
      </c>
      <c r="B86" s="395">
        <v>46051</v>
      </c>
      <c r="C86" s="238" t="s">
        <v>376</v>
      </c>
      <c r="D86" s="238" t="str">
        <f>IFERROR(VLOOKUP(C86,'Base de Monedas'!A:B,2,0),"")</f>
        <v>Guaraní</v>
      </c>
      <c r="E86" s="563">
        <v>125000000</v>
      </c>
      <c r="F86" t="s">
        <v>870</v>
      </c>
      <c r="H86" s="395"/>
      <c r="I86" s="238"/>
      <c r="J86" s="238" t="s">
        <v>1221</v>
      </c>
      <c r="K86" s="374">
        <v>0</v>
      </c>
    </row>
    <row r="87" spans="1:12" x14ac:dyDescent="0.25">
      <c r="A87" t="s">
        <v>971</v>
      </c>
      <c r="B87" s="395">
        <v>46303</v>
      </c>
      <c r="C87" s="238" t="s">
        <v>376</v>
      </c>
      <c r="D87" s="238" t="str">
        <f>IFERROR(VLOOKUP(C87,'Base de Monedas'!A:B,2,0),"")</f>
        <v>Guaraní</v>
      </c>
      <c r="E87" s="574">
        <v>5031753011</v>
      </c>
      <c r="F87" t="s">
        <v>870</v>
      </c>
      <c r="H87" s="395">
        <v>46019</v>
      </c>
      <c r="I87" s="238" t="s">
        <v>376</v>
      </c>
      <c r="J87" s="238" t="s">
        <v>688</v>
      </c>
      <c r="K87" s="374">
        <v>1048324973</v>
      </c>
      <c r="L87" t="s">
        <v>870</v>
      </c>
    </row>
    <row r="88" spans="1:12" x14ac:dyDescent="0.25">
      <c r="A88" t="s">
        <v>868</v>
      </c>
      <c r="B88" s="395"/>
      <c r="C88" s="238"/>
      <c r="D88" s="238"/>
      <c r="E88" s="574"/>
      <c r="H88" s="395">
        <v>46971</v>
      </c>
      <c r="I88" s="238" t="s">
        <v>376</v>
      </c>
      <c r="J88" s="238" t="s">
        <v>688</v>
      </c>
      <c r="K88" s="374">
        <v>1165393220</v>
      </c>
      <c r="L88" t="s">
        <v>870</v>
      </c>
    </row>
    <row r="89" spans="1:12" x14ac:dyDescent="0.25">
      <c r="A89" t="s">
        <v>869</v>
      </c>
      <c r="B89" s="395"/>
      <c r="C89" s="238"/>
      <c r="D89" s="238"/>
      <c r="E89" s="574"/>
      <c r="H89" s="395">
        <v>45678</v>
      </c>
      <c r="I89" s="238" t="s">
        <v>376</v>
      </c>
      <c r="J89" s="238" t="s">
        <v>688</v>
      </c>
      <c r="K89" s="374">
        <v>400000000</v>
      </c>
      <c r="L89" t="s">
        <v>870</v>
      </c>
    </row>
    <row r="90" spans="1:12" x14ac:dyDescent="0.25">
      <c r="A90" t="s">
        <v>1129</v>
      </c>
      <c r="B90" s="395">
        <v>47360</v>
      </c>
      <c r="C90" s="238" t="s">
        <v>376</v>
      </c>
      <c r="D90" s="238" t="str">
        <f>IFERROR(VLOOKUP(C90,'Base de Monedas'!A:B,2,0),"")</f>
        <v>Guaraní</v>
      </c>
      <c r="E90" s="574">
        <v>12025000000</v>
      </c>
      <c r="F90" t="s">
        <v>870</v>
      </c>
      <c r="H90" s="395">
        <v>47360</v>
      </c>
      <c r="I90" s="238" t="s">
        <v>376</v>
      </c>
      <c r="J90" s="238" t="s">
        <v>688</v>
      </c>
      <c r="K90" s="374">
        <v>13650000000</v>
      </c>
      <c r="L90" t="s">
        <v>870</v>
      </c>
    </row>
    <row r="91" spans="1:12" x14ac:dyDescent="0.25">
      <c r="A91" t="s">
        <v>1231</v>
      </c>
      <c r="B91" s="395">
        <v>46246</v>
      </c>
      <c r="C91" s="238" t="s">
        <v>376</v>
      </c>
      <c r="D91" s="238" t="s">
        <v>688</v>
      </c>
      <c r="E91" s="563">
        <v>1251718750</v>
      </c>
      <c r="F91" t="s">
        <v>870</v>
      </c>
      <c r="H91" s="395"/>
      <c r="I91" s="238"/>
      <c r="J91" s="238"/>
      <c r="K91" s="374"/>
    </row>
    <row r="92" spans="1:12" s="84" customFormat="1" x14ac:dyDescent="0.25">
      <c r="A92" s="84" t="s">
        <v>207</v>
      </c>
      <c r="B92" s="410"/>
      <c r="C92" s="380"/>
      <c r="D92" s="380"/>
      <c r="E92" s="563"/>
      <c r="H92" s="410"/>
      <c r="I92" s="380"/>
      <c r="J92" s="238"/>
      <c r="K92" s="374"/>
    </row>
    <row r="93" spans="1:12" x14ac:dyDescent="0.25">
      <c r="A93" t="s">
        <v>1077</v>
      </c>
      <c r="B93" s="395"/>
      <c r="C93" s="238"/>
      <c r="D93" s="238"/>
      <c r="E93" s="574"/>
      <c r="H93" s="395"/>
      <c r="I93" s="238" t="s">
        <v>376</v>
      </c>
      <c r="J93" s="238" t="s">
        <v>688</v>
      </c>
      <c r="K93" s="374">
        <v>2879496000</v>
      </c>
      <c r="L93" t="s">
        <v>870</v>
      </c>
    </row>
    <row r="94" spans="1:12" x14ac:dyDescent="0.25">
      <c r="A94" s="548" t="s">
        <v>773</v>
      </c>
      <c r="B94" s="258"/>
      <c r="C94" s="259"/>
      <c r="D94" s="258" t="str">
        <f>IFERROR(VLOOKUP(C94,'Base de Monedas'!A:B,2,0),"")</f>
        <v/>
      </c>
      <c r="E94" s="567"/>
      <c r="F94" s="258"/>
      <c r="G94" s="258"/>
      <c r="H94" s="258"/>
      <c r="I94" s="259"/>
      <c r="J94" s="259" t="str">
        <f>IFERROR(VLOOKUP(I94,'Base de Monedas'!A:B,2,0),"")</f>
        <v/>
      </c>
      <c r="K94" s="258"/>
      <c r="L94" s="258"/>
    </row>
    <row r="95" spans="1:12" x14ac:dyDescent="0.25">
      <c r="A95" s="84" t="s">
        <v>775</v>
      </c>
      <c r="C95" s="238"/>
      <c r="D95" t="str">
        <f>IFERROR(VLOOKUP(C95,'Base de Monedas'!A:B,2,0),"")</f>
        <v/>
      </c>
      <c r="E95" s="574"/>
      <c r="I95" s="238"/>
      <c r="J95" s="238" t="str">
        <f>IFERROR(VLOOKUP(I95,'Base de Monedas'!A:B,2,0),"")</f>
        <v/>
      </c>
    </row>
    <row r="96" spans="1:12" x14ac:dyDescent="0.25">
      <c r="A96" t="s">
        <v>957</v>
      </c>
      <c r="B96" s="395">
        <v>47401</v>
      </c>
      <c r="C96" s="238" t="s">
        <v>376</v>
      </c>
      <c r="D96" s="238" t="str">
        <f>IFERROR(VLOOKUP(C96,'Base de Monedas'!A:B,2,0),"")</f>
        <v>Guaraní</v>
      </c>
      <c r="E96" s="574">
        <v>6945719578</v>
      </c>
      <c r="F96" t="s">
        <v>870</v>
      </c>
      <c r="H96" s="395">
        <v>47056</v>
      </c>
      <c r="I96" s="238" t="s">
        <v>376</v>
      </c>
      <c r="J96" s="238" t="s">
        <v>688</v>
      </c>
      <c r="K96" s="374">
        <v>1914342438</v>
      </c>
      <c r="L96" t="s">
        <v>870</v>
      </c>
    </row>
    <row r="97" spans="1:12" x14ac:dyDescent="0.25">
      <c r="A97" t="s">
        <v>956</v>
      </c>
      <c r="B97" s="395">
        <v>46703</v>
      </c>
      <c r="C97" s="238" t="s">
        <v>376</v>
      </c>
      <c r="D97" s="238" t="str">
        <f>IFERROR(VLOOKUP(C97,'Base de Monedas'!A:B,2,0),"")</f>
        <v>Guaraní</v>
      </c>
      <c r="E97" s="574">
        <v>667583352</v>
      </c>
      <c r="F97" t="s">
        <v>870</v>
      </c>
      <c r="H97" s="395">
        <v>45918</v>
      </c>
      <c r="I97" s="238" t="s">
        <v>376</v>
      </c>
      <c r="J97" s="238" t="s">
        <v>688</v>
      </c>
      <c r="K97" s="374">
        <v>120347800</v>
      </c>
      <c r="L97" t="s">
        <v>870</v>
      </c>
    </row>
    <row r="98" spans="1:12" x14ac:dyDescent="0.25">
      <c r="A98" t="s">
        <v>1184</v>
      </c>
      <c r="B98" s="395"/>
      <c r="C98" s="238"/>
      <c r="D98" s="238"/>
      <c r="E98" s="574"/>
      <c r="H98" s="395">
        <v>45721</v>
      </c>
      <c r="I98" s="238" t="s">
        <v>376</v>
      </c>
      <c r="J98" s="238" t="s">
        <v>688</v>
      </c>
      <c r="K98" s="374">
        <v>25443891</v>
      </c>
      <c r="L98" t="s">
        <v>870</v>
      </c>
    </row>
    <row r="99" spans="1:12" x14ac:dyDescent="0.25">
      <c r="A99" t="s">
        <v>958</v>
      </c>
      <c r="B99" s="395">
        <v>46627</v>
      </c>
      <c r="C99" s="238" t="s">
        <v>376</v>
      </c>
      <c r="D99" s="238" t="str">
        <f>IFERROR(VLOOKUP(C99,'Base de Monedas'!A:B,2,0),"")</f>
        <v>Guaraní</v>
      </c>
      <c r="E99" s="563">
        <v>356121725</v>
      </c>
      <c r="F99" t="s">
        <v>870</v>
      </c>
      <c r="H99" s="395"/>
      <c r="I99" s="238"/>
      <c r="J99" s="238" t="s">
        <v>1221</v>
      </c>
      <c r="K99" s="374">
        <v>0</v>
      </c>
    </row>
    <row r="100" spans="1:12" x14ac:dyDescent="0.25">
      <c r="A100" t="s">
        <v>1185</v>
      </c>
      <c r="B100" s="395"/>
      <c r="C100" s="238"/>
      <c r="D100" s="238"/>
      <c r="E100" s="574"/>
      <c r="H100" s="395">
        <v>45985</v>
      </c>
      <c r="I100" s="238" t="s">
        <v>376</v>
      </c>
      <c r="J100" s="238" t="s">
        <v>688</v>
      </c>
      <c r="K100" s="374">
        <v>622204676</v>
      </c>
      <c r="L100" t="s">
        <v>870</v>
      </c>
    </row>
    <row r="101" spans="1:12" x14ac:dyDescent="0.25">
      <c r="A101" t="s">
        <v>1130</v>
      </c>
      <c r="B101" s="395"/>
      <c r="C101" s="238"/>
      <c r="D101" s="238"/>
      <c r="E101" s="574"/>
      <c r="H101" s="395">
        <v>45769</v>
      </c>
      <c r="I101" s="238" t="s">
        <v>376</v>
      </c>
      <c r="J101" s="238" t="s">
        <v>688</v>
      </c>
      <c r="K101" s="374">
        <v>9637572</v>
      </c>
      <c r="L101" t="s">
        <v>870</v>
      </c>
    </row>
    <row r="102" spans="1:12" x14ac:dyDescent="0.25">
      <c r="A102" t="s">
        <v>1072</v>
      </c>
      <c r="B102" s="395">
        <v>46051</v>
      </c>
      <c r="C102" s="238" t="s">
        <v>376</v>
      </c>
      <c r="D102" s="238" t="str">
        <f>IFERROR(VLOOKUP(C102,'Base de Monedas'!A:B,2,0),"")</f>
        <v>Guaraní</v>
      </c>
      <c r="E102" s="574">
        <v>1214897</v>
      </c>
      <c r="F102" t="s">
        <v>870</v>
      </c>
      <c r="H102" s="395"/>
      <c r="I102" s="238"/>
      <c r="J102" s="238" t="s">
        <v>1221</v>
      </c>
      <c r="K102" s="374">
        <v>0</v>
      </c>
    </row>
    <row r="103" spans="1:12" x14ac:dyDescent="0.25">
      <c r="A103" t="s">
        <v>1073</v>
      </c>
      <c r="B103" s="395">
        <v>46303</v>
      </c>
      <c r="C103" s="238" t="s">
        <v>376</v>
      </c>
      <c r="D103" s="238" t="str">
        <f>IFERROR(VLOOKUP(C103,'Base de Monedas'!A:B,2,0),"")</f>
        <v>Guaraní</v>
      </c>
      <c r="E103" s="574">
        <v>216382480</v>
      </c>
      <c r="F103" t="s">
        <v>870</v>
      </c>
      <c r="H103" s="395">
        <v>46019</v>
      </c>
      <c r="I103" s="238" t="s">
        <v>376</v>
      </c>
      <c r="J103" s="238" t="s">
        <v>688</v>
      </c>
      <c r="K103" s="374">
        <v>54724807</v>
      </c>
      <c r="L103" t="s">
        <v>870</v>
      </c>
    </row>
    <row r="104" spans="1:12" x14ac:dyDescent="0.25">
      <c r="A104" t="s">
        <v>1186</v>
      </c>
      <c r="B104" s="395"/>
      <c r="C104" s="238"/>
      <c r="D104" s="238"/>
      <c r="E104" s="574"/>
      <c r="H104" s="395">
        <v>46971</v>
      </c>
      <c r="I104" s="238" t="s">
        <v>376</v>
      </c>
      <c r="J104" s="238" t="s">
        <v>688</v>
      </c>
      <c r="K104" s="374">
        <v>51163626</v>
      </c>
      <c r="L104" t="s">
        <v>870</v>
      </c>
    </row>
    <row r="105" spans="1:12" x14ac:dyDescent="0.25">
      <c r="A105" t="s">
        <v>1187</v>
      </c>
      <c r="B105" s="395"/>
      <c r="C105" s="238"/>
      <c r="D105" s="238"/>
      <c r="E105" s="574"/>
      <c r="H105" s="395">
        <v>45678</v>
      </c>
      <c r="I105" s="238" t="s">
        <v>376</v>
      </c>
      <c r="J105" s="238" t="s">
        <v>688</v>
      </c>
      <c r="K105" s="374">
        <v>2643836</v>
      </c>
      <c r="L105" t="s">
        <v>870</v>
      </c>
    </row>
    <row r="106" spans="1:12" x14ac:dyDescent="0.25">
      <c r="A106" t="s">
        <v>1131</v>
      </c>
      <c r="B106" s="395">
        <v>47360</v>
      </c>
      <c r="C106" s="238" t="s">
        <v>376</v>
      </c>
      <c r="D106" s="238" t="str">
        <f>IFERROR(VLOOKUP(C106,'Base de Monedas'!A:B,2,0),"")</f>
        <v>Guaraní</v>
      </c>
      <c r="E106" s="574">
        <v>4024729273</v>
      </c>
      <c r="F106" t="s">
        <v>870</v>
      </c>
      <c r="H106" s="395">
        <v>47360</v>
      </c>
      <c r="I106" s="238" t="s">
        <v>376</v>
      </c>
      <c r="J106" s="238" t="s">
        <v>688</v>
      </c>
      <c r="K106" s="374">
        <v>5051144793</v>
      </c>
      <c r="L106" t="s">
        <v>870</v>
      </c>
    </row>
    <row r="107" spans="1:12" x14ac:dyDescent="0.25">
      <c r="A107" t="s">
        <v>1234</v>
      </c>
      <c r="B107" s="395">
        <v>46246</v>
      </c>
      <c r="C107" s="238" t="s">
        <v>376</v>
      </c>
      <c r="D107" s="238" t="str">
        <f>IFERROR(VLOOKUP(C107,'Base de Monedas'!A:B,2,0),"")</f>
        <v>Guaraní</v>
      </c>
      <c r="E107" s="574">
        <v>49500168</v>
      </c>
      <c r="F107" t="s">
        <v>870</v>
      </c>
      <c r="H107" s="395"/>
      <c r="I107" s="238"/>
      <c r="J107" s="238"/>
      <c r="K107" s="374"/>
    </row>
    <row r="108" spans="1:12" s="84" customFormat="1" x14ac:dyDescent="0.25">
      <c r="A108" s="84" t="s">
        <v>776</v>
      </c>
      <c r="B108" s="410"/>
      <c r="C108" s="380"/>
      <c r="E108" s="586"/>
      <c r="H108" s="410"/>
      <c r="I108" s="380"/>
      <c r="J108" s="238"/>
    </row>
    <row r="109" spans="1:12" x14ac:dyDescent="0.25">
      <c r="A109" t="s">
        <v>878</v>
      </c>
      <c r="B109" s="395">
        <v>47401</v>
      </c>
      <c r="C109" s="238" t="s">
        <v>376</v>
      </c>
      <c r="D109" s="238" t="str">
        <f>IFERROR(VLOOKUP(C109,'Base de Monedas'!A:B,2,0),"")</f>
        <v>Guaraní</v>
      </c>
      <c r="E109" s="574">
        <v>-8481018912</v>
      </c>
      <c r="F109" t="s">
        <v>870</v>
      </c>
      <c r="H109" s="395">
        <v>47056</v>
      </c>
      <c r="I109" s="238" t="s">
        <v>376</v>
      </c>
      <c r="J109" s="238" t="s">
        <v>688</v>
      </c>
      <c r="K109" s="407">
        <v>-2583832813</v>
      </c>
      <c r="L109" t="s">
        <v>870</v>
      </c>
    </row>
    <row r="110" spans="1:12" x14ac:dyDescent="0.25">
      <c r="A110" t="s">
        <v>966</v>
      </c>
      <c r="B110" s="395">
        <v>46703</v>
      </c>
      <c r="C110" s="238" t="s">
        <v>376</v>
      </c>
      <c r="D110" s="238" t="str">
        <f>IFERROR(VLOOKUP(C110,'Base de Monedas'!A:B,2,0),"")</f>
        <v>Guaraní</v>
      </c>
      <c r="E110" s="574">
        <v>-1032136784</v>
      </c>
      <c r="F110" t="s">
        <v>870</v>
      </c>
      <c r="H110" s="395">
        <v>45918</v>
      </c>
      <c r="I110" s="238" t="s">
        <v>376</v>
      </c>
      <c r="J110" s="238" t="s">
        <v>688</v>
      </c>
      <c r="K110" s="407">
        <v>-292784269</v>
      </c>
      <c r="L110" t="s">
        <v>870</v>
      </c>
    </row>
    <row r="111" spans="1:12" x14ac:dyDescent="0.25">
      <c r="A111" t="s">
        <v>1188</v>
      </c>
      <c r="B111" s="395"/>
      <c r="C111" s="238"/>
      <c r="D111" s="238"/>
      <c r="E111" s="574"/>
      <c r="H111" s="395">
        <v>45721</v>
      </c>
      <c r="I111" s="238" t="s">
        <v>376</v>
      </c>
      <c r="J111" s="238" t="s">
        <v>688</v>
      </c>
      <c r="K111" s="374">
        <v>-77353902</v>
      </c>
      <c r="L111" t="s">
        <v>870</v>
      </c>
    </row>
    <row r="112" spans="1:12" x14ac:dyDescent="0.25">
      <c r="A112" t="s">
        <v>965</v>
      </c>
      <c r="B112" s="395">
        <v>46627</v>
      </c>
      <c r="C112" s="238" t="s">
        <v>376</v>
      </c>
      <c r="D112" s="238" t="str">
        <f>IFERROR(VLOOKUP(C112,'Base de Monedas'!A:B,2,0),"")</f>
        <v>Guaraní</v>
      </c>
      <c r="E112" s="574">
        <v>-549859372</v>
      </c>
      <c r="F112" t="s">
        <v>870</v>
      </c>
      <c r="H112" s="395"/>
      <c r="I112" s="238"/>
      <c r="J112" s="238" t="s">
        <v>1221</v>
      </c>
      <c r="K112" s="407"/>
    </row>
    <row r="113" spans="1:12" x14ac:dyDescent="0.25">
      <c r="A113" t="s">
        <v>1189</v>
      </c>
      <c r="B113" s="395"/>
      <c r="C113" s="238"/>
      <c r="D113" s="238"/>
      <c r="E113" s="574"/>
      <c r="H113" s="395">
        <v>45985</v>
      </c>
      <c r="I113" s="238" t="s">
        <v>376</v>
      </c>
      <c r="J113" s="238" t="s">
        <v>688</v>
      </c>
      <c r="K113" s="374">
        <v>-742475604</v>
      </c>
      <c r="L113" t="s">
        <v>870</v>
      </c>
    </row>
    <row r="114" spans="1:12" x14ac:dyDescent="0.25">
      <c r="A114" t="s">
        <v>1133</v>
      </c>
      <c r="B114" s="395"/>
      <c r="C114" s="238"/>
      <c r="D114" s="238"/>
      <c r="E114" s="574"/>
      <c r="H114" s="395">
        <v>45769</v>
      </c>
      <c r="I114" s="238" t="s">
        <v>376</v>
      </c>
      <c r="J114" s="238" t="s">
        <v>688</v>
      </c>
      <c r="K114" s="407">
        <v>-68244568</v>
      </c>
      <c r="L114" t="s">
        <v>870</v>
      </c>
    </row>
    <row r="115" spans="1:12" x14ac:dyDescent="0.25">
      <c r="A115" t="s">
        <v>1074</v>
      </c>
      <c r="B115" s="395">
        <v>46051</v>
      </c>
      <c r="C115" s="238" t="s">
        <v>376</v>
      </c>
      <c r="D115" s="238" t="str">
        <f>IFERROR(VLOOKUP(C115,'Base de Monedas'!A:B,2,0),"")</f>
        <v>Guaraní</v>
      </c>
      <c r="E115" s="563">
        <v>-13345462.630000001</v>
      </c>
      <c r="F115" t="s">
        <v>870</v>
      </c>
      <c r="H115" s="395"/>
      <c r="I115" s="238"/>
      <c r="J115" s="238" t="s">
        <v>1221</v>
      </c>
      <c r="K115" s="374">
        <v>0</v>
      </c>
    </row>
    <row r="116" spans="1:12" x14ac:dyDescent="0.25">
      <c r="A116" t="s">
        <v>1012</v>
      </c>
      <c r="B116" s="395">
        <v>46303</v>
      </c>
      <c r="C116" s="238" t="s">
        <v>376</v>
      </c>
      <c r="D116" s="238" t="str">
        <f>IFERROR(VLOOKUP(C116,'Base de Monedas'!A:B,2,0),"")</f>
        <v>Guaraní</v>
      </c>
      <c r="E116" s="574">
        <v>-404034957</v>
      </c>
      <c r="F116" t="s">
        <v>870</v>
      </c>
      <c r="H116" s="395">
        <v>46019</v>
      </c>
      <c r="I116" s="238" t="s">
        <v>376</v>
      </c>
      <c r="J116" s="238" t="s">
        <v>688</v>
      </c>
      <c r="K116" s="374">
        <v>-101223081</v>
      </c>
      <c r="L116" t="s">
        <v>870</v>
      </c>
    </row>
    <row r="117" spans="1:12" x14ac:dyDescent="0.25">
      <c r="A117" t="s">
        <v>1190</v>
      </c>
      <c r="B117" s="395"/>
      <c r="C117" s="238"/>
      <c r="D117" s="238"/>
      <c r="E117" s="574"/>
      <c r="H117" s="395">
        <v>46971</v>
      </c>
      <c r="I117" s="238" t="s">
        <v>376</v>
      </c>
      <c r="J117" s="238" t="s">
        <v>688</v>
      </c>
      <c r="K117" s="374">
        <v>-108373934</v>
      </c>
      <c r="L117" t="s">
        <v>870</v>
      </c>
    </row>
    <row r="118" spans="1:12" x14ac:dyDescent="0.25">
      <c r="A118" t="s">
        <v>1191</v>
      </c>
      <c r="C118" s="238"/>
      <c r="D118" s="238"/>
      <c r="E118" s="574"/>
      <c r="H118" s="395">
        <v>45678</v>
      </c>
      <c r="I118" s="238" t="s">
        <v>376</v>
      </c>
      <c r="J118" s="238" t="s">
        <v>688</v>
      </c>
      <c r="K118" s="374">
        <v>-7053753</v>
      </c>
      <c r="L118" t="s">
        <v>870</v>
      </c>
    </row>
    <row r="119" spans="1:12" x14ac:dyDescent="0.25">
      <c r="A119" t="s">
        <v>1134</v>
      </c>
      <c r="B119" s="395">
        <v>47360</v>
      </c>
      <c r="C119" s="238" t="s">
        <v>376</v>
      </c>
      <c r="D119" s="238" t="str">
        <f>IFERROR(VLOOKUP(C119,'Base de Monedas'!A:B,2,0),"")</f>
        <v>Guaraní</v>
      </c>
      <c r="E119" s="574">
        <v>-4882402319.8699999</v>
      </c>
      <c r="F119" t="s">
        <v>870</v>
      </c>
      <c r="H119" s="395">
        <v>47360</v>
      </c>
      <c r="I119" s="238" t="s">
        <v>376</v>
      </c>
      <c r="J119" s="238" t="s">
        <v>688</v>
      </c>
      <c r="K119" s="374">
        <v>-6214298319.5699997</v>
      </c>
      <c r="L119" t="s">
        <v>870</v>
      </c>
    </row>
    <row r="120" spans="1:12" x14ac:dyDescent="0.25">
      <c r="A120" t="s">
        <v>1235</v>
      </c>
      <c r="B120" s="395">
        <v>46246</v>
      </c>
      <c r="C120" s="238" t="s">
        <v>376</v>
      </c>
      <c r="D120" s="238" t="str">
        <f>IFERROR(VLOOKUP(C120,'Base de Monedas'!A:B,2,0),"")</f>
        <v>Guaraní</v>
      </c>
      <c r="E120" s="574">
        <v>-109501624</v>
      </c>
      <c r="F120" t="s">
        <v>870</v>
      </c>
      <c r="H120" s="395"/>
      <c r="I120" s="238"/>
      <c r="J120" s="238"/>
      <c r="K120" s="374"/>
    </row>
    <row r="121" spans="1:12" x14ac:dyDescent="0.25">
      <c r="A121" s="84" t="s">
        <v>108</v>
      </c>
      <c r="B121" s="395"/>
      <c r="C121" s="238"/>
      <c r="D121" t="str">
        <f>IFERROR(VLOOKUP(C121,'Base de Monedas'!A:B,2,0),"")</f>
        <v/>
      </c>
      <c r="E121" s="574"/>
      <c r="H121" s="395"/>
      <c r="I121" s="238"/>
      <c r="J121" s="238" t="s">
        <v>1221</v>
      </c>
    </row>
    <row r="122" spans="1:12" x14ac:dyDescent="0.25">
      <c r="A122" s="363" t="s">
        <v>918</v>
      </c>
      <c r="B122" s="395"/>
      <c r="C122" s="238"/>
      <c r="D122" s="238" t="str">
        <f>IFERROR(VLOOKUP(C122,'Base de Monedas'!A:B,2,0),"")</f>
        <v/>
      </c>
      <c r="E122" s="563"/>
      <c r="H122" s="395"/>
      <c r="I122" s="238"/>
      <c r="J122" s="238" t="s">
        <v>1221</v>
      </c>
      <c r="K122" s="374">
        <v>0</v>
      </c>
    </row>
    <row r="123" spans="1:12" x14ac:dyDescent="0.25">
      <c r="A123" s="363" t="s">
        <v>1075</v>
      </c>
      <c r="B123" s="395"/>
      <c r="C123" s="238"/>
      <c r="D123" s="238"/>
      <c r="E123" s="574"/>
      <c r="H123" s="395">
        <v>46007</v>
      </c>
      <c r="I123" s="238" t="s">
        <v>376</v>
      </c>
      <c r="J123" s="238" t="s">
        <v>688</v>
      </c>
      <c r="K123" s="374">
        <v>158284902</v>
      </c>
      <c r="L123" t="s">
        <v>870</v>
      </c>
    </row>
    <row r="124" spans="1:12" x14ac:dyDescent="0.25">
      <c r="A124" s="363" t="s">
        <v>919</v>
      </c>
      <c r="B124" s="395"/>
      <c r="C124" s="238"/>
      <c r="D124" s="238"/>
      <c r="E124" s="563"/>
      <c r="H124" s="395"/>
      <c r="I124" s="238"/>
      <c r="J124" s="238" t="s">
        <v>1221</v>
      </c>
      <c r="K124" s="374">
        <v>0</v>
      </c>
    </row>
    <row r="125" spans="1:12" x14ac:dyDescent="0.25">
      <c r="A125" s="364" t="s">
        <v>1076</v>
      </c>
      <c r="B125" s="396"/>
      <c r="C125" s="259"/>
      <c r="D125" s="259"/>
      <c r="E125" s="567"/>
      <c r="F125" s="258"/>
      <c r="G125" s="258"/>
      <c r="H125" s="396">
        <v>46022</v>
      </c>
      <c r="I125" s="259" t="s">
        <v>376</v>
      </c>
      <c r="J125" s="259" t="s">
        <v>688</v>
      </c>
      <c r="K125" s="379">
        <v>-147240260</v>
      </c>
      <c r="L125" s="258" t="s">
        <v>870</v>
      </c>
    </row>
    <row r="126" spans="1:12" s="84" customFormat="1" x14ac:dyDescent="0.25">
      <c r="A126" s="84" t="s">
        <v>2</v>
      </c>
      <c r="C126" s="380"/>
      <c r="D126" s="84" t="str">
        <f>IFERROR(VLOOKUP(C126,'Base de Monedas'!A:B,2,0),"")</f>
        <v/>
      </c>
      <c r="E126" s="566">
        <f>SUM($E$80:E125)</f>
        <v>63338326568.499992</v>
      </c>
      <c r="I126" s="380"/>
      <c r="J126" s="84" t="str">
        <f>IFERROR(VLOOKUP(I126,'Base de Monedas'!G:H,2,0),"")</f>
        <v/>
      </c>
      <c r="K126" s="381">
        <f>SUM($K$80:K125)</f>
        <v>39608880893.43</v>
      </c>
    </row>
    <row r="129" spans="2:2" x14ac:dyDescent="0.25">
      <c r="B129" s="395"/>
    </row>
    <row r="130" spans="2:2" x14ac:dyDescent="0.25">
      <c r="B130" s="395"/>
    </row>
    <row r="131" spans="2:2" x14ac:dyDescent="0.25">
      <c r="B131" s="395"/>
    </row>
  </sheetData>
  <hyperlinks>
    <hyperlink ref="L1" location="BG!A1" display="BG" xr:uid="{00000000-0004-0000-1200-000000000000}"/>
    <hyperlink ref="E1" location="BG!A1" display="BG" xr:uid="{00000000-0004-0000-1200-000001000000}"/>
  </hyperlinks>
  <printOptions horizontalCentered="1"/>
  <pageMargins left="0.70866141732283472" right="0.70866141732283472" top="0.74803149606299213" bottom="0.74803149606299213" header="0.31496062992125984" footer="0.31496062992125984"/>
  <pageSetup paperSize="9" scale="65"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tabColor rgb="FFFFFF00"/>
  </sheetPr>
  <dimension ref="A1:L75"/>
  <sheetViews>
    <sheetView showGridLines="0" tabSelected="1" topLeftCell="A52" zoomScaleNormal="100" zoomScaleSheetLayoutView="70" workbookViewId="0">
      <selection activeCell="C6" sqref="A6:G58"/>
    </sheetView>
  </sheetViews>
  <sheetFormatPr baseColWidth="10" defaultColWidth="11.42578125" defaultRowHeight="11.25" x14ac:dyDescent="0.2"/>
  <cols>
    <col min="1" max="1" width="2.140625" style="43" customWidth="1"/>
    <col min="2" max="2" width="2" style="43" customWidth="1"/>
    <col min="3" max="3" width="2.28515625" style="43" customWidth="1"/>
    <col min="4" max="4" width="51.85546875" style="43" customWidth="1"/>
    <col min="5" max="5" width="10.28515625" style="71" customWidth="1"/>
    <col min="6" max="7" width="19.7109375" style="421" bestFit="1" customWidth="1"/>
    <col min="8" max="8" width="15.5703125" style="416" bestFit="1" customWidth="1"/>
    <col min="9" max="9" width="16.42578125" style="416" bestFit="1" customWidth="1"/>
    <col min="10" max="10" width="14" style="416" bestFit="1" customWidth="1"/>
    <col min="11" max="11" width="12" style="43" bestFit="1" customWidth="1"/>
    <col min="12" max="16384" width="11.42578125" style="43"/>
  </cols>
  <sheetData>
    <row r="1" spans="1:7" ht="15" x14ac:dyDescent="0.2">
      <c r="D1" s="29" t="str">
        <f>Indice!C1</f>
        <v>SALLUSTRO Y CIA. S.A.</v>
      </c>
      <c r="E1" s="172" t="s">
        <v>330</v>
      </c>
    </row>
    <row r="3" spans="1:7" x14ac:dyDescent="0.2">
      <c r="F3" s="495"/>
    </row>
    <row r="7" spans="1:7" ht="12.75" x14ac:dyDescent="0.2">
      <c r="A7" s="590" t="s">
        <v>247</v>
      </c>
      <c r="B7" s="590"/>
      <c r="C7" s="590"/>
      <c r="D7" s="590"/>
      <c r="E7" s="590"/>
      <c r="F7" s="590"/>
      <c r="G7" s="590"/>
    </row>
    <row r="8" spans="1:7" ht="15" customHeight="1" x14ac:dyDescent="0.2">
      <c r="A8" s="590" t="str">
        <f>IFERROR(IF(Indice!B6="","Al dia... de mes… de año 2XX2…","Al "&amp;DAY(Indice!B6)&amp;" de "&amp;VLOOKUP(MONTH(Indice!B6),Indice!P:Q,2,0)&amp;" de "&amp;YEAR(Indice!B6)),"Al dia... de mes… de año 2XX2…")</f>
        <v>Al 31 de Diciembre de 2024</v>
      </c>
      <c r="B8" s="590"/>
      <c r="C8" s="590"/>
      <c r="D8" s="590"/>
      <c r="E8" s="590"/>
      <c r="F8" s="590"/>
      <c r="G8" s="590"/>
    </row>
    <row r="9" spans="1:7" ht="12.75" x14ac:dyDescent="0.2">
      <c r="A9" s="591" t="s">
        <v>228</v>
      </c>
      <c r="B9" s="591"/>
      <c r="C9" s="591"/>
      <c r="D9" s="591"/>
      <c r="E9" s="591"/>
      <c r="F9" s="591"/>
      <c r="G9" s="591"/>
    </row>
    <row r="10" spans="1:7" ht="12" x14ac:dyDescent="0.2">
      <c r="A10" s="50"/>
      <c r="B10" s="50"/>
      <c r="C10" s="50"/>
      <c r="D10" s="50"/>
      <c r="E10" s="5"/>
      <c r="F10" s="422"/>
      <c r="G10" s="422"/>
    </row>
    <row r="11" spans="1:7" ht="15" x14ac:dyDescent="0.3">
      <c r="A11" s="50"/>
      <c r="B11" s="170"/>
      <c r="C11" s="170"/>
      <c r="D11" s="170"/>
      <c r="E11" s="232" t="s">
        <v>175</v>
      </c>
      <c r="F11" s="423">
        <f>IFERROR(IF(Indice!B6="","2XX2",YEAR(Indice!B6)),"2XX2")</f>
        <v>2024</v>
      </c>
      <c r="G11" s="423">
        <f>IFERROR(YEAR(Indice!B6-366),"2XX1")</f>
        <v>2023</v>
      </c>
    </row>
    <row r="12" spans="1:7" ht="15" x14ac:dyDescent="0.2">
      <c r="B12" s="593" t="s">
        <v>176</v>
      </c>
      <c r="C12" s="593"/>
      <c r="D12" s="593"/>
      <c r="E12" s="174"/>
    </row>
    <row r="13" spans="1:7" ht="12.75" x14ac:dyDescent="0.2">
      <c r="A13" s="50"/>
      <c r="B13" s="27" t="s">
        <v>177</v>
      </c>
      <c r="C13" s="2"/>
      <c r="D13" s="2"/>
      <c r="E13" s="171"/>
      <c r="F13" s="49"/>
      <c r="G13" s="49"/>
    </row>
    <row r="14" spans="1:7" ht="15" x14ac:dyDescent="0.25">
      <c r="A14" s="50"/>
      <c r="B14" s="2"/>
      <c r="C14" s="592" t="s">
        <v>178</v>
      </c>
      <c r="D14" s="592"/>
      <c r="E14" s="180">
        <v>3</v>
      </c>
      <c r="F14" s="49">
        <f>'Nota 3'!C51</f>
        <v>7838220626.2900019</v>
      </c>
      <c r="G14" s="49">
        <f>'Nota 3'!D51</f>
        <v>9589530999.6599998</v>
      </c>
    </row>
    <row r="15" spans="1:7" ht="15" x14ac:dyDescent="0.25">
      <c r="A15" s="50"/>
      <c r="B15" s="2"/>
      <c r="C15" s="592" t="s">
        <v>98</v>
      </c>
      <c r="D15" s="592"/>
      <c r="E15" s="180">
        <v>4</v>
      </c>
      <c r="F15" s="49">
        <f>'Nota 4'!B11</f>
        <v>7480044841.4099998</v>
      </c>
      <c r="G15" s="49">
        <f>'Nota 4'!C11</f>
        <v>4259958603.23</v>
      </c>
    </row>
    <row r="16" spans="1:7" ht="15" x14ac:dyDescent="0.25">
      <c r="A16" s="50"/>
      <c r="B16" s="2"/>
      <c r="C16" s="592" t="s">
        <v>179</v>
      </c>
      <c r="D16" s="592"/>
      <c r="E16" s="180">
        <v>5</v>
      </c>
      <c r="F16" s="49">
        <f>'Nota 5'!C27</f>
        <v>40178780060.119995</v>
      </c>
      <c r="G16" s="49">
        <f>'Nota 5'!D27</f>
        <v>37026532982.849998</v>
      </c>
    </row>
    <row r="17" spans="1:11" ht="15" x14ac:dyDescent="0.25">
      <c r="A17" s="66"/>
      <c r="B17" s="2"/>
      <c r="C17" s="592" t="s">
        <v>34</v>
      </c>
      <c r="D17" s="592"/>
      <c r="E17" s="180">
        <v>6</v>
      </c>
      <c r="F17" s="49">
        <f>'Nota 6'!B23</f>
        <v>24109264967.799999</v>
      </c>
      <c r="G17" s="49">
        <f>'Nota 6'!C23</f>
        <v>17592365788.169998</v>
      </c>
    </row>
    <row r="18" spans="1:11" ht="15" x14ac:dyDescent="0.25">
      <c r="A18" s="50"/>
      <c r="B18" s="2"/>
      <c r="C18" s="592" t="s">
        <v>180</v>
      </c>
      <c r="D18" s="592"/>
      <c r="E18" s="180">
        <v>7</v>
      </c>
      <c r="F18" s="49">
        <f>'Nota 7'!B13</f>
        <v>103022701280.40999</v>
      </c>
      <c r="G18" s="49">
        <f>'Nota 7'!C13</f>
        <v>93061369662.600006</v>
      </c>
    </row>
    <row r="19" spans="1:11" ht="12.75" x14ac:dyDescent="0.2">
      <c r="A19" s="50"/>
      <c r="B19" s="2"/>
      <c r="C19" s="27" t="s">
        <v>254</v>
      </c>
      <c r="D19" s="2"/>
      <c r="E19" s="171"/>
      <c r="F19" s="424">
        <f>SUM(F14:F18)</f>
        <v>182629011776.02997</v>
      </c>
      <c r="G19" s="424">
        <f>SUM(G14:G18)</f>
        <v>161529758036.51001</v>
      </c>
      <c r="K19" s="378"/>
    </row>
    <row r="20" spans="1:11" ht="12.75" x14ac:dyDescent="0.2">
      <c r="A20" s="50"/>
      <c r="B20" s="27" t="s">
        <v>181</v>
      </c>
      <c r="C20" s="2"/>
      <c r="D20" s="2"/>
      <c r="E20" s="171"/>
      <c r="F20" s="49"/>
      <c r="G20" s="49"/>
    </row>
    <row r="21" spans="1:11" ht="15" x14ac:dyDescent="0.25">
      <c r="A21" s="50"/>
      <c r="B21" s="2"/>
      <c r="C21" s="592" t="s">
        <v>182</v>
      </c>
      <c r="D21" s="592"/>
      <c r="E21" s="180">
        <v>6</v>
      </c>
      <c r="F21" s="49">
        <f>'Nota 6'!B35</f>
        <v>1009854906.9399999</v>
      </c>
      <c r="G21" s="511">
        <f>'Nota 6'!C35</f>
        <v>977453916.39999998</v>
      </c>
    </row>
    <row r="22" spans="1:11" ht="15" x14ac:dyDescent="0.25">
      <c r="A22" s="50"/>
      <c r="B22" s="2"/>
      <c r="C22" t="s">
        <v>179</v>
      </c>
      <c r="D22"/>
      <c r="E22" s="180">
        <v>5</v>
      </c>
      <c r="F22" s="49">
        <f>'Nota 5'!C46</f>
        <v>14557216413.539999</v>
      </c>
      <c r="G22" s="511">
        <f>'Nota 5'!D46</f>
        <v>20240871204.530003</v>
      </c>
    </row>
    <row r="23" spans="1:11" ht="15" x14ac:dyDescent="0.25">
      <c r="A23" s="50"/>
      <c r="B23" s="2"/>
      <c r="C23" t="s">
        <v>1123</v>
      </c>
      <c r="D23"/>
      <c r="E23" s="180">
        <v>4</v>
      </c>
      <c r="F23" s="49">
        <f>+'Nota 4'!B15</f>
        <v>12030909090.91</v>
      </c>
      <c r="G23" s="511">
        <f>+'Nota 4'!C15</f>
        <v>13130909090.91</v>
      </c>
    </row>
    <row r="24" spans="1:11" ht="15" x14ac:dyDescent="0.25">
      <c r="A24" s="50"/>
      <c r="B24" s="2"/>
      <c r="C24" s="592" t="s">
        <v>356</v>
      </c>
      <c r="D24" s="592"/>
      <c r="E24" s="180">
        <v>8</v>
      </c>
      <c r="F24" s="49">
        <f>'Nota 8'!B8</f>
        <v>0</v>
      </c>
      <c r="G24" s="49">
        <f>'Nota 8'!C8</f>
        <v>0</v>
      </c>
    </row>
    <row r="25" spans="1:11" ht="15" x14ac:dyDescent="0.25">
      <c r="A25" s="50"/>
      <c r="B25" s="2"/>
      <c r="C25" s="592" t="s">
        <v>357</v>
      </c>
      <c r="D25" s="592"/>
      <c r="E25" s="180">
        <v>9</v>
      </c>
      <c r="F25" s="49">
        <f>'Nota 9'!L27</f>
        <v>33894668652.480003</v>
      </c>
      <c r="G25" s="49">
        <f>'Nota 9'!M27</f>
        <v>35544315773.759575</v>
      </c>
    </row>
    <row r="26" spans="1:11" ht="15" x14ac:dyDescent="0.25">
      <c r="A26" s="50"/>
      <c r="B26" s="2"/>
      <c r="C26" s="592" t="s">
        <v>198</v>
      </c>
      <c r="D26" s="592"/>
      <c r="E26" s="180">
        <v>10</v>
      </c>
      <c r="F26" s="49">
        <f>'Nota 10'!B19</f>
        <v>0</v>
      </c>
      <c r="G26" s="49">
        <f>'Nota 10'!C19</f>
        <v>0</v>
      </c>
    </row>
    <row r="27" spans="1:11" ht="15" x14ac:dyDescent="0.25">
      <c r="A27" s="50"/>
      <c r="B27" s="2"/>
      <c r="C27" s="592" t="s">
        <v>110</v>
      </c>
      <c r="D27" s="592"/>
      <c r="E27" s="180">
        <v>11</v>
      </c>
      <c r="F27" s="49">
        <f>'Nota 11'!B13</f>
        <v>6193834517.2600002</v>
      </c>
      <c r="G27" s="49">
        <f>'Nota 11'!C13</f>
        <v>5377639566.4500008</v>
      </c>
    </row>
    <row r="28" spans="1:11" ht="15" x14ac:dyDescent="0.25">
      <c r="A28" s="50"/>
      <c r="B28" s="2"/>
      <c r="C28" s="592" t="s">
        <v>116</v>
      </c>
      <c r="D28" s="592"/>
      <c r="E28" s="180">
        <v>12</v>
      </c>
      <c r="F28" s="49">
        <f>'Nota 12'!B11</f>
        <v>0</v>
      </c>
      <c r="G28" s="49">
        <f>'Nota 12'!C11</f>
        <v>0</v>
      </c>
    </row>
    <row r="29" spans="1:11" ht="12.75" x14ac:dyDescent="0.2">
      <c r="A29" s="50"/>
      <c r="B29" s="2"/>
      <c r="C29" s="598" t="s">
        <v>272</v>
      </c>
      <c r="D29" s="598"/>
      <c r="E29" s="171"/>
      <c r="F29" s="424">
        <f>SUM(F21:F28)</f>
        <v>67686483581.130005</v>
      </c>
      <c r="G29" s="424">
        <f>SUM(G21:G28)</f>
        <v>75271189552.049576</v>
      </c>
      <c r="K29" s="378"/>
    </row>
    <row r="30" spans="1:11" ht="15" x14ac:dyDescent="0.3">
      <c r="A30" s="50"/>
      <c r="B30" s="595" t="s">
        <v>199</v>
      </c>
      <c r="C30" s="595"/>
      <c r="D30" s="595"/>
      <c r="E30" s="175"/>
      <c r="F30" s="427">
        <f>+F19+F29</f>
        <v>250315495357.15997</v>
      </c>
      <c r="G30" s="425">
        <f>+G19+G29</f>
        <v>236800947588.55957</v>
      </c>
      <c r="K30" s="378"/>
    </row>
    <row r="31" spans="1:11" ht="17.25" x14ac:dyDescent="0.45">
      <c r="B31" s="594" t="s">
        <v>200</v>
      </c>
      <c r="C31" s="594"/>
      <c r="D31" s="594"/>
      <c r="E31" s="174"/>
      <c r="F31" s="496"/>
      <c r="G31" s="426"/>
    </row>
    <row r="32" spans="1:11" ht="12.75" x14ac:dyDescent="0.2">
      <c r="A32" s="50"/>
      <c r="B32" s="27" t="s">
        <v>201</v>
      </c>
      <c r="C32" s="2"/>
      <c r="D32" s="2"/>
      <c r="E32" s="171"/>
      <c r="F32" s="497">
        <v>-1</v>
      </c>
      <c r="G32" s="49"/>
    </row>
    <row r="33" spans="1:11" ht="15" x14ac:dyDescent="0.25">
      <c r="A33" s="50"/>
      <c r="B33" s="2"/>
      <c r="C33" s="592" t="s">
        <v>99</v>
      </c>
      <c r="D33" s="592"/>
      <c r="E33" s="180">
        <v>13</v>
      </c>
      <c r="F33" s="49">
        <f>'Nota 13'!D13</f>
        <v>22106475925.912201</v>
      </c>
      <c r="G33" s="49">
        <f>'Nota 13'!E13</f>
        <v>27521027370.599998</v>
      </c>
    </row>
    <row r="34" spans="1:11" ht="15" x14ac:dyDescent="0.25">
      <c r="A34" s="50"/>
      <c r="B34" s="2"/>
      <c r="C34" s="596" t="s">
        <v>203</v>
      </c>
      <c r="D34" s="596"/>
      <c r="E34" s="180">
        <v>14</v>
      </c>
      <c r="F34" s="49">
        <f>'Nota 14'!E74</f>
        <v>50883648531.870003</v>
      </c>
      <c r="G34" s="49">
        <f>'Nota 14'!K74</f>
        <v>59675240157.310013</v>
      </c>
    </row>
    <row r="35" spans="1:11" ht="15" x14ac:dyDescent="0.25">
      <c r="A35" s="50"/>
      <c r="B35" s="2"/>
      <c r="C35" s="592" t="s">
        <v>118</v>
      </c>
      <c r="D35" s="592"/>
      <c r="E35" s="180">
        <v>15</v>
      </c>
      <c r="F35" s="49">
        <f>'Nota 15'!B15</f>
        <v>0</v>
      </c>
      <c r="G35" s="49">
        <f>'Nota 15'!C15</f>
        <v>0</v>
      </c>
    </row>
    <row r="36" spans="1:11" ht="15" x14ac:dyDescent="0.25">
      <c r="A36" s="50"/>
      <c r="B36" s="2"/>
      <c r="C36" s="592" t="s">
        <v>58</v>
      </c>
      <c r="D36" s="592"/>
      <c r="E36" s="180">
        <v>16</v>
      </c>
      <c r="F36" s="49">
        <f>'Nota 16'!B14</f>
        <v>536439117</v>
      </c>
      <c r="G36" s="49">
        <f>'Nota 16'!C14</f>
        <v>1088929340</v>
      </c>
    </row>
    <row r="37" spans="1:11" ht="15" x14ac:dyDescent="0.25">
      <c r="A37" s="50"/>
      <c r="B37" s="2"/>
      <c r="C37" s="592" t="s">
        <v>59</v>
      </c>
      <c r="D37" s="592"/>
      <c r="E37" s="180">
        <v>17</v>
      </c>
      <c r="F37" s="49">
        <f>'Nota 17'!B15</f>
        <v>10549184</v>
      </c>
      <c r="G37" s="49">
        <f>'Nota 17'!C15</f>
        <v>305513142.19</v>
      </c>
    </row>
    <row r="38" spans="1:11" ht="15" x14ac:dyDescent="0.25">
      <c r="A38" s="50"/>
      <c r="B38" s="2"/>
      <c r="C38" s="592" t="s">
        <v>60</v>
      </c>
      <c r="D38" s="592"/>
      <c r="E38" s="180">
        <v>18</v>
      </c>
      <c r="F38" s="49">
        <f>'Nota 18'!B13</f>
        <v>0</v>
      </c>
      <c r="G38" s="49">
        <f>'Nota 18'!C13</f>
        <v>192015926.69</v>
      </c>
    </row>
    <row r="39" spans="1:11" ht="15" x14ac:dyDescent="0.25">
      <c r="A39" s="50"/>
      <c r="B39" s="2"/>
      <c r="C39" s="592" t="s">
        <v>204</v>
      </c>
      <c r="D39" s="592"/>
      <c r="E39" s="180">
        <v>19</v>
      </c>
      <c r="F39" s="49">
        <f>'Nota 19'!B16</f>
        <v>519000000</v>
      </c>
      <c r="G39" s="49">
        <f>'Nota 19'!C16</f>
        <v>1091292148.1399999</v>
      </c>
    </row>
    <row r="40" spans="1:11" ht="13.7" customHeight="1" x14ac:dyDescent="0.2">
      <c r="A40" s="50"/>
      <c r="B40" s="2"/>
      <c r="C40" s="27" t="s">
        <v>202</v>
      </c>
      <c r="D40" s="2"/>
      <c r="E40" s="171"/>
      <c r="F40" s="424">
        <f>SUM(F33:F39)</f>
        <v>74056112758.782196</v>
      </c>
      <c r="G40" s="424">
        <f>SUM(G33:G39)</f>
        <v>89874018084.930008</v>
      </c>
      <c r="K40" s="378"/>
    </row>
    <row r="41" spans="1:11" ht="12.75" x14ac:dyDescent="0.2">
      <c r="A41" s="50"/>
      <c r="B41" s="27" t="s">
        <v>205</v>
      </c>
      <c r="C41" s="2"/>
      <c r="D41" s="2"/>
      <c r="E41" s="171"/>
      <c r="F41" s="49"/>
      <c r="G41" s="49"/>
    </row>
    <row r="42" spans="1:11" ht="15" x14ac:dyDescent="0.25">
      <c r="A42" s="50"/>
      <c r="B42" s="2"/>
      <c r="C42" s="592" t="s">
        <v>206</v>
      </c>
      <c r="D42" s="592"/>
      <c r="E42" s="180">
        <v>14</v>
      </c>
      <c r="F42" s="49">
        <f>'Nota 14'!E126</f>
        <v>63338326568.499992</v>
      </c>
      <c r="G42" s="49">
        <f>'Nota 14'!K126</f>
        <v>39608880893.43</v>
      </c>
    </row>
    <row r="43" spans="1:11" ht="15" x14ac:dyDescent="0.25">
      <c r="A43" s="50"/>
      <c r="B43" s="2"/>
      <c r="C43" s="592" t="s">
        <v>305</v>
      </c>
      <c r="D43" s="592"/>
      <c r="E43" s="180">
        <v>19</v>
      </c>
      <c r="F43" s="49">
        <f>'Nota 19'!F16</f>
        <v>2647170500</v>
      </c>
      <c r="G43" s="49">
        <f>'Nota 19'!G16</f>
        <v>864181000</v>
      </c>
    </row>
    <row r="44" spans="1:11" ht="12.75" x14ac:dyDescent="0.2">
      <c r="A44" s="50"/>
      <c r="B44" s="2"/>
      <c r="C44" s="27" t="s">
        <v>281</v>
      </c>
      <c r="D44" s="2"/>
      <c r="E44" s="171"/>
      <c r="F44" s="424">
        <f>SUM(F42:F43)</f>
        <v>65985497068.499992</v>
      </c>
      <c r="G44" s="424">
        <f>SUM(G42:G43)</f>
        <v>40473061893.43</v>
      </c>
      <c r="K44" s="378"/>
    </row>
    <row r="45" spans="1:11" ht="6" customHeight="1" x14ac:dyDescent="0.2">
      <c r="A45" s="50"/>
      <c r="B45" s="2"/>
      <c r="C45" s="2"/>
      <c r="D45" s="47"/>
      <c r="E45" s="176"/>
      <c r="F45" s="49"/>
      <c r="G45" s="49"/>
    </row>
    <row r="46" spans="1:11" ht="15" x14ac:dyDescent="0.3">
      <c r="A46" s="50"/>
      <c r="B46" s="594" t="s">
        <v>358</v>
      </c>
      <c r="C46" s="594"/>
      <c r="D46" s="594"/>
      <c r="E46" s="177"/>
      <c r="F46" s="427">
        <f>+F40+F44</f>
        <v>140041609827.2822</v>
      </c>
      <c r="G46" s="427">
        <f>+G40+G44</f>
        <v>130347079978.36002</v>
      </c>
      <c r="K46" s="378"/>
    </row>
    <row r="47" spans="1:11" ht="15" x14ac:dyDescent="0.25">
      <c r="B47" s="594" t="s">
        <v>35</v>
      </c>
      <c r="C47" s="594"/>
      <c r="D47" s="594"/>
      <c r="E47" s="174"/>
      <c r="F47" s="356"/>
      <c r="G47" s="356"/>
    </row>
    <row r="48" spans="1:11" ht="15" x14ac:dyDescent="0.25">
      <c r="A48" s="50"/>
      <c r="B48" s="2"/>
      <c r="C48" s="592" t="s">
        <v>208</v>
      </c>
      <c r="D48" s="592"/>
      <c r="E48" s="180">
        <v>20</v>
      </c>
      <c r="F48" s="49">
        <f>'Nota 20'!B11</f>
        <v>68000000000</v>
      </c>
      <c r="G48" s="49">
        <f>'Nota 20'!C11</f>
        <v>68000000000</v>
      </c>
    </row>
    <row r="49" spans="1:11" ht="15" x14ac:dyDescent="0.25">
      <c r="A49" s="50"/>
      <c r="B49" s="2"/>
      <c r="C49" s="592" t="s">
        <v>37</v>
      </c>
      <c r="D49" s="592"/>
      <c r="E49" s="172">
        <v>21</v>
      </c>
      <c r="F49" s="49">
        <f>' Nota 21'!B8</f>
        <v>3812149991</v>
      </c>
      <c r="G49" s="49">
        <f>' Nota 21'!C8</f>
        <v>3812149991.3299999</v>
      </c>
    </row>
    <row r="50" spans="1:11" ht="15" x14ac:dyDescent="0.25">
      <c r="A50" s="66"/>
      <c r="B50" s="2"/>
      <c r="C50" s="592" t="s">
        <v>72</v>
      </c>
      <c r="D50" s="592"/>
      <c r="E50" s="172">
        <v>21</v>
      </c>
      <c r="F50" s="49">
        <f>' Nota 21'!B24</f>
        <v>3715914770.6700001</v>
      </c>
      <c r="G50" s="49">
        <f>' Nota 21'!C24</f>
        <v>3225494833.7199998</v>
      </c>
    </row>
    <row r="51" spans="1:11" ht="15" x14ac:dyDescent="0.25">
      <c r="A51" s="50"/>
      <c r="B51" s="2"/>
      <c r="C51" s="592" t="s">
        <v>209</v>
      </c>
      <c r="D51" s="592"/>
      <c r="E51" s="172">
        <v>21</v>
      </c>
      <c r="F51" s="49">
        <f>' Nota 21'!B28</f>
        <v>0</v>
      </c>
      <c r="G51" s="49">
        <f>' Nota 21'!C28</f>
        <v>0</v>
      </c>
    </row>
    <row r="52" spans="1:11" ht="15" x14ac:dyDescent="0.25">
      <c r="A52" s="50"/>
      <c r="B52" s="2"/>
      <c r="C52" s="592" t="s">
        <v>210</v>
      </c>
      <c r="D52" s="592"/>
      <c r="E52" s="172">
        <v>21</v>
      </c>
      <c r="F52" s="49">
        <f>' Nota 21'!B35</f>
        <v>25427841966.209999</v>
      </c>
      <c r="G52" s="49">
        <f>' Nota 21'!C35</f>
        <v>18867849129.209999</v>
      </c>
    </row>
    <row r="53" spans="1:11" ht="15" x14ac:dyDescent="0.25">
      <c r="A53" s="50"/>
      <c r="B53" s="2"/>
      <c r="C53" s="592" t="s">
        <v>61</v>
      </c>
      <c r="D53" s="592"/>
      <c r="E53" s="180">
        <v>22</v>
      </c>
      <c r="F53" s="49">
        <f>'Nota 22'!B8</f>
        <v>0</v>
      </c>
      <c r="G53" s="49">
        <f>'Nota 22'!C8</f>
        <v>0</v>
      </c>
    </row>
    <row r="54" spans="1:11" ht="15" x14ac:dyDescent="0.25">
      <c r="A54" s="50"/>
      <c r="B54" s="2"/>
      <c r="C54" s="592" t="s">
        <v>38</v>
      </c>
      <c r="D54" s="592"/>
      <c r="E54" s="180">
        <v>23</v>
      </c>
      <c r="F54" s="49">
        <f>'Nota 23'!B10</f>
        <v>9317978802.1200008</v>
      </c>
      <c r="G54" s="49">
        <f>'Nota 23'!C10</f>
        <v>12548373656.1</v>
      </c>
    </row>
    <row r="55" spans="1:11" ht="12.75" x14ac:dyDescent="0.2">
      <c r="A55" s="50"/>
      <c r="B55" s="2"/>
      <c r="C55" s="597" t="s">
        <v>53</v>
      </c>
      <c r="D55" s="597"/>
      <c r="E55" s="171"/>
      <c r="F55" s="49">
        <f>SUM(F48:F54)</f>
        <v>110273885530</v>
      </c>
      <c r="G55" s="49">
        <f>SUM(G48:G54)</f>
        <v>106453867610.36002</v>
      </c>
    </row>
    <row r="56" spans="1:11" ht="15" x14ac:dyDescent="0.25">
      <c r="A56" s="50"/>
      <c r="B56" s="2"/>
      <c r="C56" s="592" t="s">
        <v>62</v>
      </c>
      <c r="D56" s="592"/>
      <c r="E56" s="180">
        <v>24</v>
      </c>
      <c r="F56" s="49">
        <f>'Nota 24'!B8</f>
        <v>0</v>
      </c>
      <c r="G56" s="49">
        <f>'Nota 24'!C8</f>
        <v>0</v>
      </c>
    </row>
    <row r="57" spans="1:11" ht="15" x14ac:dyDescent="0.25">
      <c r="A57" s="50"/>
      <c r="B57" s="594" t="s">
        <v>211</v>
      </c>
      <c r="C57" s="594"/>
      <c r="D57" s="594"/>
      <c r="E57" s="177"/>
      <c r="F57" s="428">
        <f>F55</f>
        <v>110273885530</v>
      </c>
      <c r="G57" s="428">
        <f>G55</f>
        <v>106453867610.36002</v>
      </c>
      <c r="I57" s="407"/>
      <c r="K57" s="378"/>
    </row>
    <row r="58" spans="1:11" ht="15" x14ac:dyDescent="0.2">
      <c r="A58" s="50"/>
      <c r="B58" s="594" t="s">
        <v>212</v>
      </c>
      <c r="C58" s="594"/>
      <c r="D58" s="594"/>
      <c r="E58" s="178"/>
      <c r="F58" s="428">
        <f>+F46+F57</f>
        <v>250315495357.2822</v>
      </c>
      <c r="G58" s="428">
        <f>+G46+G57</f>
        <v>236800947588.72003</v>
      </c>
      <c r="H58" s="416">
        <f>+G58-G30</f>
        <v>0.16046142578125</v>
      </c>
      <c r="I58" s="416">
        <f>+F58-F30</f>
        <v>0.122222900390625</v>
      </c>
    </row>
    <row r="59" spans="1:11" ht="12.75" x14ac:dyDescent="0.2">
      <c r="A59" s="50"/>
      <c r="B59" s="27"/>
      <c r="C59" s="2"/>
      <c r="D59" s="2"/>
      <c r="E59" s="171"/>
      <c r="F59" s="494"/>
      <c r="G59" s="49"/>
    </row>
    <row r="60" spans="1:11" ht="12" x14ac:dyDescent="0.2">
      <c r="B60" s="50" t="s">
        <v>355</v>
      </c>
      <c r="C60" s="50"/>
      <c r="D60" s="50"/>
      <c r="E60" s="179"/>
      <c r="F60" s="532"/>
      <c r="G60" s="532"/>
    </row>
    <row r="61" spans="1:11" ht="12" x14ac:dyDescent="0.2">
      <c r="A61" s="50"/>
      <c r="B61" s="65"/>
      <c r="C61" s="50"/>
      <c r="D61" s="50"/>
      <c r="E61" s="179"/>
      <c r="F61" s="422"/>
      <c r="G61" s="429"/>
    </row>
    <row r="62" spans="1:11" ht="12" x14ac:dyDescent="0.2">
      <c r="A62" s="50"/>
      <c r="B62" s="65"/>
      <c r="C62" s="50"/>
      <c r="D62" s="50"/>
      <c r="E62" s="179"/>
      <c r="F62" s="422"/>
      <c r="G62" s="429"/>
    </row>
    <row r="63" spans="1:11" ht="12" x14ac:dyDescent="0.2">
      <c r="A63" s="50"/>
      <c r="B63" s="65"/>
      <c r="C63" s="50"/>
      <c r="D63" s="50"/>
      <c r="E63" s="179"/>
      <c r="F63" s="422"/>
      <c r="G63" s="429"/>
    </row>
    <row r="64" spans="1:11" ht="12" x14ac:dyDescent="0.2">
      <c r="A64" s="50"/>
      <c r="B64" s="65"/>
      <c r="C64" s="50"/>
      <c r="D64" s="50"/>
      <c r="E64" s="179"/>
      <c r="F64" s="422"/>
      <c r="G64" s="429"/>
    </row>
    <row r="65" spans="1:12" ht="12" x14ac:dyDescent="0.2">
      <c r="A65" s="50"/>
      <c r="B65" s="65"/>
      <c r="C65" s="50"/>
      <c r="D65" s="50"/>
      <c r="E65" s="179"/>
    </row>
    <row r="66" spans="1:12" ht="12.75" x14ac:dyDescent="0.2">
      <c r="C66" s="45"/>
      <c r="D66" s="462"/>
      <c r="E66" s="413"/>
      <c r="F66" s="478"/>
      <c r="G66" s="498"/>
      <c r="I66" s="413"/>
    </row>
    <row r="67" spans="1:12" ht="12.75" x14ac:dyDescent="0.2">
      <c r="D67" s="462"/>
      <c r="E67" s="413"/>
      <c r="F67" s="479"/>
      <c r="G67" s="479"/>
      <c r="H67" s="461"/>
      <c r="I67" s="413"/>
    </row>
    <row r="68" spans="1:12" ht="12.75" x14ac:dyDescent="0.2">
      <c r="D68" s="462"/>
      <c r="E68" s="413"/>
      <c r="F68" s="479"/>
      <c r="G68" s="479"/>
      <c r="H68" s="461"/>
      <c r="I68" s="413"/>
    </row>
    <row r="69" spans="1:12" ht="12.75" x14ac:dyDescent="0.2">
      <c r="D69" s="412"/>
      <c r="E69" s="412"/>
      <c r="F69" s="499"/>
      <c r="G69" s="499"/>
      <c r="H69" s="412"/>
      <c r="I69" s="412"/>
      <c r="J69" s="412"/>
      <c r="K69" s="412"/>
      <c r="L69" s="412"/>
    </row>
    <row r="70" spans="1:12" ht="12.75" x14ac:dyDescent="0.2">
      <c r="D70" s="412"/>
      <c r="E70" s="412"/>
      <c r="F70" s="499"/>
      <c r="G70" s="499"/>
      <c r="H70" s="412"/>
      <c r="I70" s="412"/>
      <c r="J70" s="412"/>
      <c r="K70" s="412"/>
      <c r="L70" s="412"/>
    </row>
    <row r="71" spans="1:12" ht="12.75" x14ac:dyDescent="0.2">
      <c r="D71" s="412"/>
      <c r="E71" s="412"/>
      <c r="F71" s="499"/>
      <c r="G71" s="499"/>
      <c r="H71" s="412"/>
      <c r="I71" s="412"/>
      <c r="J71" s="412"/>
      <c r="K71" s="412"/>
      <c r="L71" s="412"/>
    </row>
    <row r="72" spans="1:12" ht="12.75" x14ac:dyDescent="0.2">
      <c r="D72" s="461"/>
      <c r="E72" s="412"/>
      <c r="F72" s="499"/>
      <c r="H72" s="412"/>
      <c r="I72" s="412"/>
      <c r="J72" s="412"/>
      <c r="K72" s="412"/>
      <c r="L72" s="412"/>
    </row>
    <row r="73" spans="1:12" ht="12.75" x14ac:dyDescent="0.2">
      <c r="C73" s="46"/>
      <c r="D73" s="461"/>
      <c r="E73" s="412"/>
      <c r="F73" s="499"/>
      <c r="H73" s="412"/>
      <c r="I73" s="412"/>
      <c r="J73" s="412"/>
      <c r="K73" s="412"/>
      <c r="L73" s="412"/>
    </row>
    <row r="74" spans="1:12" ht="12.75" x14ac:dyDescent="0.2">
      <c r="C74" s="45"/>
      <c r="D74" s="461"/>
      <c r="E74" s="412"/>
      <c r="F74" s="499"/>
      <c r="H74" s="412"/>
      <c r="I74" s="412"/>
      <c r="J74" s="412"/>
      <c r="K74" s="412"/>
      <c r="L74" s="412"/>
    </row>
    <row r="75" spans="1:12" x14ac:dyDescent="0.2">
      <c r="D75" s="44"/>
      <c r="E75" s="72"/>
      <c r="F75" s="500"/>
    </row>
  </sheetData>
  <mergeCells count="40">
    <mergeCell ref="C28:D28"/>
    <mergeCell ref="C33:D33"/>
    <mergeCell ref="C29:D29"/>
    <mergeCell ref="B31:D31"/>
    <mergeCell ref="B58:D58"/>
    <mergeCell ref="C39:D39"/>
    <mergeCell ref="C42:D42"/>
    <mergeCell ref="C43:D43"/>
    <mergeCell ref="C48:D48"/>
    <mergeCell ref="C50:D50"/>
    <mergeCell ref="C49:D49"/>
    <mergeCell ref="C56:D56"/>
    <mergeCell ref="C51:D51"/>
    <mergeCell ref="C52:D52"/>
    <mergeCell ref="C53:D53"/>
    <mergeCell ref="C54:D54"/>
    <mergeCell ref="B57:D57"/>
    <mergeCell ref="B30:D30"/>
    <mergeCell ref="C38:D38"/>
    <mergeCell ref="B47:D47"/>
    <mergeCell ref="B46:D46"/>
    <mergeCell ref="C35:D35"/>
    <mergeCell ref="C36:D36"/>
    <mergeCell ref="C37:D37"/>
    <mergeCell ref="C34:D34"/>
    <mergeCell ref="C55:D55"/>
    <mergeCell ref="A7:G7"/>
    <mergeCell ref="A9:G9"/>
    <mergeCell ref="C27:D27"/>
    <mergeCell ref="C21:D21"/>
    <mergeCell ref="C24:D24"/>
    <mergeCell ref="C25:D25"/>
    <mergeCell ref="C26:D26"/>
    <mergeCell ref="A8:G8"/>
    <mergeCell ref="B12:D12"/>
    <mergeCell ref="C14:D14"/>
    <mergeCell ref="C15:D15"/>
    <mergeCell ref="C16:D16"/>
    <mergeCell ref="C17:D17"/>
    <mergeCell ref="C18:D18"/>
  </mergeCells>
  <hyperlinks>
    <hyperlink ref="E14" location="'Nota 3'!A1" display="'Nota 3'!A1" xr:uid="{00000000-0004-0000-0100-000000000000}"/>
    <hyperlink ref="E15" location="'Nota 4'!A1" display="'Nota 4'!A1" xr:uid="{00000000-0004-0000-0100-000001000000}"/>
    <hyperlink ref="E16" location="'Nota 5'!A1" display="'Nota 5'!A1" xr:uid="{00000000-0004-0000-0100-000002000000}"/>
    <hyperlink ref="E17" location="'Nota 6'!A1" display="'Nota 6'!A1" xr:uid="{00000000-0004-0000-0100-000003000000}"/>
    <hyperlink ref="E18" location="'Nota 7'!A1" display="'Nota 7'!A1" xr:uid="{00000000-0004-0000-0100-000004000000}"/>
    <hyperlink ref="E21" location="'Nota 6'!A1" display="'Nota 6'!A1" xr:uid="{00000000-0004-0000-0100-000005000000}"/>
    <hyperlink ref="E24" location="'Nota 8'!A1" display="'Nota 8'!A1" xr:uid="{00000000-0004-0000-0100-000006000000}"/>
    <hyperlink ref="E25" location="'Nota 9'!A1" display="'Nota 9'!A1" xr:uid="{00000000-0004-0000-0100-000007000000}"/>
    <hyperlink ref="E26" location="'Nota 10'!A1" display="'Nota 10'!A1" xr:uid="{00000000-0004-0000-0100-000008000000}"/>
    <hyperlink ref="E27" location="'Nota 11'!A1" display="'Nota 11'!A1" xr:uid="{00000000-0004-0000-0100-000009000000}"/>
    <hyperlink ref="E28" location="'Nota 12'!A1" display="'Nota 12'!A1" xr:uid="{00000000-0004-0000-0100-00000A000000}"/>
    <hyperlink ref="E33" location="'Nota 13'!A1" display="'Nota 13'!A1" xr:uid="{00000000-0004-0000-0100-00000B000000}"/>
    <hyperlink ref="E34" location="'Nota 14'!A1" display="'Nota 14'!A1" xr:uid="{00000000-0004-0000-0100-00000C000000}"/>
    <hyperlink ref="E42" location="'Nota 14'!A1" display="'Nota 14'!A1" xr:uid="{00000000-0004-0000-0100-00000D000000}"/>
    <hyperlink ref="E35" location="'Nota 15'!A1" display="'Nota 15'!A1" xr:uid="{00000000-0004-0000-0100-00000E000000}"/>
    <hyperlink ref="E36" location="'Nota 16'!A1" display="'Nota 16'!A1" xr:uid="{00000000-0004-0000-0100-00000F000000}"/>
    <hyperlink ref="E37" location="'Nota 17'!A1" display="'Nota 17'!A1" xr:uid="{00000000-0004-0000-0100-000010000000}"/>
    <hyperlink ref="E38" location="'Nota 18'!A1" display="'Nota 18'!A1" xr:uid="{00000000-0004-0000-0100-000011000000}"/>
    <hyperlink ref="E39" location="'Nota 19'!A1" display="'Nota 19'!A1" xr:uid="{00000000-0004-0000-0100-000012000000}"/>
    <hyperlink ref="E43" location="'Nota 19'!A1" display="'Nota 19'!A1" xr:uid="{00000000-0004-0000-0100-000013000000}"/>
    <hyperlink ref="E48" location="'Nota 20'!A1" display="'Nota 20'!A1" xr:uid="{00000000-0004-0000-0100-000014000000}"/>
    <hyperlink ref="E53" location="'Nota 22'!A1" display="'Nota 22'!A1" xr:uid="{00000000-0004-0000-0100-000015000000}"/>
    <hyperlink ref="E49" location="' Nota 21'!A1" display="' Nota 21'!A1" xr:uid="{00000000-0004-0000-0100-000016000000}"/>
    <hyperlink ref="E50" location="' Nota 21'!A1" display="' Nota 21'!A1" xr:uid="{00000000-0004-0000-0100-000017000000}"/>
    <hyperlink ref="E51" location="' Nota 21'!A1" display="' Nota 21'!A1" xr:uid="{00000000-0004-0000-0100-000018000000}"/>
    <hyperlink ref="E52" location="' Nota 21'!A1" display="' Nota 21'!A1" xr:uid="{00000000-0004-0000-0100-000019000000}"/>
    <hyperlink ref="E54" location="'Nota 23'!A1" display="'Nota 23'!A1" xr:uid="{00000000-0004-0000-0100-00001A000000}"/>
    <hyperlink ref="E56" location="'Nota 24'!A1" display="'Nota 24'!A1" xr:uid="{00000000-0004-0000-0100-00001B000000}"/>
    <hyperlink ref="E1" location="Indice!A1" display="Indice" xr:uid="{00000000-0004-0000-0100-00001C000000}"/>
    <hyperlink ref="E22" location="'Nota 5'!A1" display="'Nota 5'!A1" xr:uid="{00000000-0004-0000-0100-00001D000000}"/>
    <hyperlink ref="E23" location="'Nota 4'!A1" display="'Nota 4'!A1" xr:uid="{00000000-0004-0000-0100-00001E000000}"/>
  </hyperlinks>
  <printOptions horizontalCentered="1"/>
  <pageMargins left="0.70866141732283472" right="0.70866141732283472" top="0.74803149606299213" bottom="0.74803149606299213" header="0.31496062992125984" footer="0.31496062992125984"/>
  <pageSetup paperSize="9" scale="69" orientation="portrait" r:id="rId1"/>
  <ignoredErrors>
    <ignoredError sqref="G29" formulaRange="1"/>
  </ignoredErrors>
  <drawing r:id="rId2"/>
  <legacy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Hoja20">
    <tabColor rgb="FFFFFF00"/>
    <pageSetUpPr fitToPage="1"/>
  </sheetPr>
  <dimension ref="A1:AH17"/>
  <sheetViews>
    <sheetView topLeftCell="A4" zoomScaleNormal="100" zoomScaleSheetLayoutView="90" workbookViewId="0">
      <selection activeCell="A18" sqref="A18"/>
    </sheetView>
  </sheetViews>
  <sheetFormatPr baseColWidth="10" defaultRowHeight="15" x14ac:dyDescent="0.25"/>
  <cols>
    <col min="1" max="1" width="44.7109375" style="103" customWidth="1"/>
    <col min="2" max="2" width="18.28515625" style="103" customWidth="1"/>
    <col min="3" max="3" width="20.140625" style="103" customWidth="1"/>
    <col min="4" max="34" width="11.5703125" style="103" customWidth="1"/>
  </cols>
  <sheetData>
    <row r="1" spans="1:34" x14ac:dyDescent="0.25">
      <c r="A1" s="103" t="str">
        <f>Indice!C1</f>
        <v>SALLUSTRO Y CIA. S.A.</v>
      </c>
      <c r="C1" s="122" t="s">
        <v>117</v>
      </c>
    </row>
    <row r="5" spans="1:34" x14ac:dyDescent="0.25">
      <c r="A5" s="239" t="s">
        <v>276</v>
      </c>
      <c r="B5" s="239"/>
      <c r="C5" s="239"/>
      <c r="D5" s="239"/>
      <c r="T5"/>
      <c r="U5"/>
      <c r="V5"/>
      <c r="W5"/>
      <c r="X5"/>
      <c r="Y5"/>
      <c r="Z5"/>
      <c r="AA5"/>
      <c r="AB5"/>
      <c r="AC5"/>
      <c r="AD5"/>
      <c r="AE5"/>
      <c r="AF5"/>
      <c r="AG5"/>
      <c r="AH5"/>
    </row>
    <row r="7" spans="1:34" x14ac:dyDescent="0.25">
      <c r="B7" s="652" t="s">
        <v>258</v>
      </c>
      <c r="C7" s="652"/>
    </row>
    <row r="8" spans="1:34" x14ac:dyDescent="0.25">
      <c r="A8" s="120" t="s">
        <v>118</v>
      </c>
      <c r="B8" s="228">
        <f>IFERROR(IF(Indice!B6="","2XX2",YEAR(Indice!B6)),"2XX2")</f>
        <v>2024</v>
      </c>
      <c r="C8" s="228">
        <f>IFERROR(YEAR(Indice!B6-366),"2XX1")</f>
        <v>2023</v>
      </c>
      <c r="D8" s="115"/>
      <c r="T8"/>
      <c r="U8"/>
      <c r="V8"/>
      <c r="W8"/>
      <c r="X8"/>
      <c r="Y8"/>
      <c r="Z8"/>
      <c r="AA8"/>
      <c r="AB8"/>
      <c r="AC8"/>
      <c r="AD8"/>
      <c r="AE8"/>
      <c r="AF8"/>
      <c r="AG8"/>
      <c r="AH8"/>
    </row>
    <row r="9" spans="1:34" x14ac:dyDescent="0.25">
      <c r="A9" s="116" t="s">
        <v>99</v>
      </c>
      <c r="B9" s="116"/>
      <c r="C9" s="116"/>
      <c r="D9" s="116"/>
      <c r="T9"/>
      <c r="U9"/>
      <c r="V9"/>
      <c r="W9"/>
      <c r="X9"/>
      <c r="Y9"/>
      <c r="Z9"/>
      <c r="AA9"/>
      <c r="AB9"/>
      <c r="AC9"/>
      <c r="AD9"/>
      <c r="AE9"/>
      <c r="AF9"/>
      <c r="AG9"/>
      <c r="AH9"/>
    </row>
    <row r="10" spans="1:34" x14ac:dyDescent="0.25">
      <c r="A10" s="117" t="s">
        <v>119</v>
      </c>
      <c r="D10" s="117"/>
      <c r="T10"/>
      <c r="U10"/>
      <c r="V10"/>
      <c r="W10"/>
      <c r="X10"/>
      <c r="Y10"/>
      <c r="Z10"/>
      <c r="AA10"/>
      <c r="AB10"/>
      <c r="AC10"/>
      <c r="AD10"/>
      <c r="AE10"/>
      <c r="AF10"/>
      <c r="AG10"/>
      <c r="AH10"/>
    </row>
    <row r="11" spans="1:34" x14ac:dyDescent="0.25">
      <c r="A11" s="117" t="s">
        <v>104</v>
      </c>
      <c r="D11" s="117"/>
      <c r="T11"/>
      <c r="U11"/>
      <c r="V11"/>
      <c r="W11"/>
      <c r="X11"/>
      <c r="Y11"/>
      <c r="Z11"/>
      <c r="AA11"/>
      <c r="AB11"/>
      <c r="AC11"/>
      <c r="AD11"/>
      <c r="AE11"/>
      <c r="AF11"/>
      <c r="AG11"/>
      <c r="AH11"/>
    </row>
    <row r="12" spans="1:34" x14ac:dyDescent="0.25">
      <c r="A12" s="117" t="s">
        <v>120</v>
      </c>
      <c r="D12" s="117"/>
      <c r="T12"/>
      <c r="U12"/>
      <c r="V12"/>
      <c r="W12"/>
      <c r="X12"/>
      <c r="Y12"/>
      <c r="Z12"/>
      <c r="AA12"/>
      <c r="AB12"/>
      <c r="AC12"/>
      <c r="AD12"/>
      <c r="AE12"/>
      <c r="AF12"/>
      <c r="AG12"/>
      <c r="AH12"/>
    </row>
    <row r="13" spans="1:34" x14ac:dyDescent="0.25">
      <c r="A13" s="117" t="s">
        <v>121</v>
      </c>
      <c r="D13" s="117"/>
      <c r="T13"/>
      <c r="U13"/>
      <c r="V13"/>
      <c r="W13"/>
      <c r="X13"/>
      <c r="Y13"/>
      <c r="Z13"/>
      <c r="AA13"/>
      <c r="AB13"/>
      <c r="AC13"/>
      <c r="AD13"/>
      <c r="AE13"/>
      <c r="AF13"/>
      <c r="AG13"/>
      <c r="AH13"/>
    </row>
    <row r="14" spans="1:34" x14ac:dyDescent="0.25">
      <c r="A14" s="257" t="s">
        <v>57</v>
      </c>
      <c r="B14" s="116"/>
      <c r="C14" s="116"/>
      <c r="D14" s="116"/>
      <c r="T14"/>
      <c r="U14"/>
      <c r="V14"/>
      <c r="W14"/>
      <c r="X14"/>
      <c r="Y14"/>
      <c r="Z14"/>
      <c r="AA14"/>
      <c r="AB14"/>
      <c r="AC14"/>
      <c r="AD14"/>
      <c r="AE14"/>
      <c r="AF14"/>
      <c r="AG14"/>
      <c r="AH14"/>
    </row>
    <row r="15" spans="1:34" x14ac:dyDescent="0.25">
      <c r="A15" s="108" t="s">
        <v>115</v>
      </c>
      <c r="B15" s="197">
        <f>SUM($B$9:B14)</f>
        <v>0</v>
      </c>
      <c r="C15" s="197">
        <f>SUM($C$9:C14)</f>
        <v>0</v>
      </c>
      <c r="T15"/>
      <c r="U15"/>
      <c r="V15"/>
      <c r="W15"/>
      <c r="X15"/>
      <c r="Y15"/>
      <c r="Z15"/>
      <c r="AA15"/>
      <c r="AB15"/>
      <c r="AC15"/>
      <c r="AD15"/>
      <c r="AE15"/>
      <c r="AF15"/>
      <c r="AG15"/>
      <c r="AH15"/>
    </row>
    <row r="16" spans="1:34" x14ac:dyDescent="0.25">
      <c r="A16" s="118"/>
      <c r="D16" s="117"/>
      <c r="T16"/>
      <c r="U16"/>
      <c r="V16"/>
      <c r="W16"/>
      <c r="X16"/>
      <c r="Y16"/>
      <c r="Z16"/>
      <c r="AA16"/>
      <c r="AB16"/>
      <c r="AC16"/>
      <c r="AD16"/>
      <c r="AE16"/>
      <c r="AF16"/>
      <c r="AG16"/>
      <c r="AH16"/>
    </row>
    <row r="17" spans="1:34" x14ac:dyDescent="0.25">
      <c r="A17" s="117"/>
      <c r="D17" s="117"/>
      <c r="T17"/>
      <c r="U17"/>
      <c r="V17"/>
      <c r="W17"/>
      <c r="X17"/>
      <c r="Y17"/>
      <c r="Z17"/>
      <c r="AA17"/>
      <c r="AB17"/>
      <c r="AC17"/>
      <c r="AD17"/>
      <c r="AE17"/>
      <c r="AF17"/>
      <c r="AG17"/>
      <c r="AH17"/>
    </row>
  </sheetData>
  <mergeCells count="1">
    <mergeCell ref="B7:C7"/>
  </mergeCells>
  <hyperlinks>
    <hyperlink ref="C1" location="BG!A1" display="BG" xr:uid="{00000000-0004-0000-1300-000000000000}"/>
  </hyperlinks>
  <printOptions horizontalCentered="1"/>
  <pageMargins left="0.70866141732283472" right="0.70866141732283472" top="0.74803149606299213" bottom="0.74803149606299213" header="0.31496062992125984" footer="0.31496062992125984"/>
  <pageSetup paperSize="9" orientation="portrait" r:id="rId1"/>
  <colBreaks count="1" manualBreakCount="1">
    <brk id="4" max="1048575" man="1"/>
  </col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Hoja21">
    <tabColor rgb="FFFFFF00"/>
    <pageSetUpPr fitToPage="1"/>
  </sheetPr>
  <dimension ref="A1:AG17"/>
  <sheetViews>
    <sheetView topLeftCell="B1" zoomScaleNormal="100" zoomScaleSheetLayoutView="100" workbookViewId="0">
      <selection activeCell="A4" sqref="A4:C14"/>
    </sheetView>
  </sheetViews>
  <sheetFormatPr baseColWidth="10" defaultRowHeight="15" x14ac:dyDescent="0.25"/>
  <cols>
    <col min="1" max="1" width="66.140625" style="103" bestFit="1" customWidth="1"/>
    <col min="2" max="2" width="16.42578125" style="103" customWidth="1"/>
    <col min="3" max="3" width="15" style="103" customWidth="1"/>
    <col min="4" max="33" width="11.5703125" style="103" customWidth="1"/>
  </cols>
  <sheetData>
    <row r="1" spans="1:33" x14ac:dyDescent="0.25">
      <c r="A1" s="103" t="str">
        <f>Indice!C1</f>
        <v>SALLUSTRO Y CIA. S.A.</v>
      </c>
      <c r="C1" s="122" t="s">
        <v>117</v>
      </c>
    </row>
    <row r="4" spans="1:33" x14ac:dyDescent="0.25">
      <c r="A4" s="239" t="s">
        <v>277</v>
      </c>
      <c r="B4" s="239"/>
      <c r="C4" s="239"/>
      <c r="T4"/>
      <c r="U4"/>
      <c r="V4"/>
      <c r="W4"/>
      <c r="X4"/>
      <c r="Y4"/>
      <c r="Z4"/>
      <c r="AA4"/>
      <c r="AB4"/>
      <c r="AC4"/>
      <c r="AD4"/>
      <c r="AE4"/>
      <c r="AF4"/>
      <c r="AG4"/>
    </row>
    <row r="6" spans="1:33" x14ac:dyDescent="0.25">
      <c r="B6" s="652" t="s">
        <v>258</v>
      </c>
      <c r="C6" s="652"/>
    </row>
    <row r="7" spans="1:33" x14ac:dyDescent="0.25">
      <c r="A7" s="120" t="s">
        <v>58</v>
      </c>
      <c r="B7" s="266">
        <f>IFERROR(IF(Indice!B6="","2XX2",YEAR(Indice!B6)),"2XX2")</f>
        <v>2024</v>
      </c>
      <c r="C7" s="266">
        <f>IFERROR(YEAR(Indice!B6-366),"2XX1")</f>
        <v>2023</v>
      </c>
    </row>
    <row r="8" spans="1:33" x14ac:dyDescent="0.25">
      <c r="A8" s="103" t="s">
        <v>123</v>
      </c>
      <c r="B8" s="353">
        <v>536439117</v>
      </c>
      <c r="C8" s="353">
        <v>484660822.04000002</v>
      </c>
    </row>
    <row r="9" spans="1:33" x14ac:dyDescent="0.25">
      <c r="A9" s="103" t="s">
        <v>122</v>
      </c>
      <c r="B9" s="353">
        <v>0</v>
      </c>
      <c r="C9" s="353">
        <v>713619.01</v>
      </c>
    </row>
    <row r="10" spans="1:33" x14ac:dyDescent="0.25">
      <c r="A10" s="103" t="s">
        <v>959</v>
      </c>
      <c r="B10" s="353">
        <v>0</v>
      </c>
      <c r="C10" s="353">
        <v>552703915.90999997</v>
      </c>
    </row>
    <row r="11" spans="1:33" x14ac:dyDescent="0.25">
      <c r="A11" s="103" t="s">
        <v>960</v>
      </c>
      <c r="B11" s="553">
        <v>0</v>
      </c>
      <c r="C11" s="553">
        <v>50850983.039999999</v>
      </c>
    </row>
    <row r="12" spans="1:33" x14ac:dyDescent="0.25">
      <c r="A12" s="103" t="s">
        <v>124</v>
      </c>
      <c r="B12" s="353">
        <v>0</v>
      </c>
      <c r="C12" s="353">
        <v>0</v>
      </c>
    </row>
    <row r="13" spans="1:33" x14ac:dyDescent="0.25">
      <c r="A13" s="103" t="s">
        <v>922</v>
      </c>
      <c r="B13" s="353">
        <v>0</v>
      </c>
      <c r="C13" s="353">
        <v>0</v>
      </c>
    </row>
    <row r="14" spans="1:33" x14ac:dyDescent="0.25">
      <c r="A14" s="103" t="s">
        <v>2</v>
      </c>
      <c r="B14" s="398">
        <f>SUM($B$8:B13)</f>
        <v>536439117</v>
      </c>
      <c r="C14" s="398">
        <f>SUM($C$8:C13)</f>
        <v>1088929340</v>
      </c>
    </row>
    <row r="16" spans="1:33" x14ac:dyDescent="0.25">
      <c r="B16" s="365"/>
    </row>
    <row r="17" spans="2:2" x14ac:dyDescent="0.25">
      <c r="B17" s="365"/>
    </row>
  </sheetData>
  <mergeCells count="1">
    <mergeCell ref="B6:C6"/>
  </mergeCells>
  <hyperlinks>
    <hyperlink ref="C1" location="BG!A1" display="BG" xr:uid="{00000000-0004-0000-1400-000000000000}"/>
  </hyperlinks>
  <printOptions horizontalCentered="1"/>
  <pageMargins left="0.70866141732283472" right="0.70866141732283472" top="0.74803149606299213" bottom="0.74803149606299213" header="0.31496062992125984" footer="0.31496062992125984"/>
  <pageSetup paperSize="9" scale="93" orientation="portrait" r:id="rId1"/>
  <colBreaks count="1" manualBreakCount="1">
    <brk id="3"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Hoja22">
    <tabColor rgb="FFFFFF00"/>
    <pageSetUpPr fitToPage="1"/>
  </sheetPr>
  <dimension ref="A1:G17"/>
  <sheetViews>
    <sheetView zoomScaleNormal="100" zoomScaleSheetLayoutView="90" workbookViewId="0">
      <selection activeCell="A5" sqref="A5:C15"/>
    </sheetView>
  </sheetViews>
  <sheetFormatPr baseColWidth="10" defaultRowHeight="15" x14ac:dyDescent="0.25"/>
  <cols>
    <col min="1" max="1" width="51.5703125" style="103" customWidth="1"/>
    <col min="2" max="3" width="22.7109375" style="103" customWidth="1"/>
    <col min="7" max="7" width="13.5703125" bestFit="1" customWidth="1"/>
  </cols>
  <sheetData>
    <row r="1" spans="1:3" x14ac:dyDescent="0.25">
      <c r="A1" s="103" t="str">
        <f>Indice!C1</f>
        <v>SALLUSTRO Y CIA. S.A.</v>
      </c>
      <c r="C1" s="122" t="s">
        <v>117</v>
      </c>
    </row>
    <row r="5" spans="1:3" x14ac:dyDescent="0.25">
      <c r="A5" s="239" t="s">
        <v>291</v>
      </c>
      <c r="B5" s="239"/>
      <c r="C5" s="239"/>
    </row>
    <row r="6" spans="1:3" s="26" customFormat="1" x14ac:dyDescent="0.25">
      <c r="A6" s="123"/>
      <c r="B6" s="123"/>
      <c r="C6" s="123"/>
    </row>
    <row r="7" spans="1:3" x14ac:dyDescent="0.25">
      <c r="B7" s="652" t="s">
        <v>258</v>
      </c>
      <c r="C7" s="652"/>
    </row>
    <row r="8" spans="1:3" x14ac:dyDescent="0.25">
      <c r="A8" s="229" t="s">
        <v>59</v>
      </c>
      <c r="B8" s="266">
        <f>IFERROR(IF(Indice!B6="","2XX2",YEAR(Indice!B6)),"2XX2")</f>
        <v>2024</v>
      </c>
      <c r="C8" s="266">
        <f>IFERROR(YEAR(Indice!B6-366),"2XX1")</f>
        <v>2023</v>
      </c>
    </row>
    <row r="9" spans="1:3" x14ac:dyDescent="0.25">
      <c r="A9" s="103" t="s">
        <v>888</v>
      </c>
      <c r="B9" s="353">
        <v>0</v>
      </c>
      <c r="C9" s="353">
        <v>1192285.3899999999</v>
      </c>
    </row>
    <row r="10" spans="1:3" x14ac:dyDescent="0.25">
      <c r="A10" t="s">
        <v>1193</v>
      </c>
      <c r="B10" s="353">
        <v>0</v>
      </c>
      <c r="C10" s="353">
        <v>301306680.80000001</v>
      </c>
    </row>
    <row r="11" spans="1:3" x14ac:dyDescent="0.25">
      <c r="A11" s="103" t="s">
        <v>884</v>
      </c>
      <c r="B11" s="353">
        <v>0</v>
      </c>
      <c r="C11" s="353">
        <v>0</v>
      </c>
    </row>
    <row r="12" spans="1:3" x14ac:dyDescent="0.25">
      <c r="A12" s="103" t="s">
        <v>885</v>
      </c>
      <c r="B12" s="353">
        <v>10549184</v>
      </c>
      <c r="C12" s="353">
        <v>3014176</v>
      </c>
    </row>
    <row r="13" spans="1:3" x14ac:dyDescent="0.25">
      <c r="A13" s="103" t="s">
        <v>886</v>
      </c>
      <c r="B13" s="353">
        <v>0</v>
      </c>
      <c r="C13" s="353">
        <v>0</v>
      </c>
    </row>
    <row r="14" spans="1:3" x14ac:dyDescent="0.25">
      <c r="A14" s="103" t="s">
        <v>887</v>
      </c>
      <c r="B14" s="353">
        <v>0</v>
      </c>
      <c r="C14" s="353">
        <v>0</v>
      </c>
    </row>
    <row r="15" spans="1:3" x14ac:dyDescent="0.25">
      <c r="A15" s="103" t="s">
        <v>2</v>
      </c>
      <c r="B15" s="398">
        <f>SUM($B$9:B14)</f>
        <v>10549184</v>
      </c>
      <c r="C15" s="398">
        <f>SUM($C$9:C14)</f>
        <v>305513142.19</v>
      </c>
    </row>
    <row r="17" spans="2:7" x14ac:dyDescent="0.25">
      <c r="B17" s="365"/>
      <c r="G17" s="547"/>
    </row>
  </sheetData>
  <mergeCells count="1">
    <mergeCell ref="B7:C7"/>
  </mergeCells>
  <hyperlinks>
    <hyperlink ref="C1" location="BG!A1" display="BG" xr:uid="{00000000-0004-0000-1500-000000000000}"/>
  </hyperlinks>
  <printOptions horizontalCentered="1"/>
  <pageMargins left="0.70866141732283472" right="0.70866141732283472" top="0.74803149606299213" bottom="0.74803149606299213" header="0.31496062992125984" footer="0.31496062992125984"/>
  <pageSetup paperSize="9" scale="9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Hoja23">
    <tabColor rgb="FFFFFF00"/>
    <pageSetUpPr fitToPage="1"/>
  </sheetPr>
  <dimension ref="A1:J13"/>
  <sheetViews>
    <sheetView showGridLines="0" zoomScaleNormal="100" zoomScaleSheetLayoutView="110" workbookViewId="0">
      <selection activeCell="A4" sqref="A4:C13"/>
    </sheetView>
  </sheetViews>
  <sheetFormatPr baseColWidth="10" defaultRowHeight="15" x14ac:dyDescent="0.25"/>
  <cols>
    <col min="1" max="1" width="29" style="103" bestFit="1" customWidth="1"/>
    <col min="2" max="3" width="13.5703125" style="103" bestFit="1" customWidth="1"/>
    <col min="4" max="10" width="11.5703125" style="103" customWidth="1"/>
  </cols>
  <sheetData>
    <row r="1" spans="1:3" x14ac:dyDescent="0.25">
      <c r="A1" s="103" t="str">
        <f>Indice!C1</f>
        <v>SALLUSTRO Y CIA. S.A.</v>
      </c>
      <c r="C1" s="122" t="s">
        <v>117</v>
      </c>
    </row>
    <row r="4" spans="1:3" x14ac:dyDescent="0.25">
      <c r="A4" s="637" t="s">
        <v>279</v>
      </c>
      <c r="B4" s="637"/>
      <c r="C4" s="637"/>
    </row>
    <row r="6" spans="1:3" x14ac:dyDescent="0.25">
      <c r="B6" s="652" t="s">
        <v>258</v>
      </c>
      <c r="C6" s="652"/>
    </row>
    <row r="7" spans="1:3" x14ac:dyDescent="0.25">
      <c r="A7" s="661" t="s">
        <v>60</v>
      </c>
      <c r="B7" s="266">
        <f>IFERROR(IF(Indice!B6="","2XX2",YEAR(Indice!B6)),"2XX2")</f>
        <v>2024</v>
      </c>
      <c r="C7" s="266">
        <f>IFERROR(YEAR(Indice!B6-366),"2XX1")</f>
        <v>2023</v>
      </c>
    </row>
    <row r="8" spans="1:3" x14ac:dyDescent="0.25">
      <c r="A8" s="661"/>
      <c r="B8" s="358"/>
      <c r="C8" s="358"/>
    </row>
    <row r="9" spans="1:3" x14ac:dyDescent="0.25">
      <c r="A9" s="260" t="s">
        <v>779</v>
      </c>
      <c r="B9" s="353">
        <v>0</v>
      </c>
      <c r="C9" s="353">
        <v>0</v>
      </c>
    </row>
    <row r="10" spans="1:3" x14ac:dyDescent="0.25">
      <c r="A10" s="260" t="s">
        <v>781</v>
      </c>
      <c r="B10" s="353">
        <v>0</v>
      </c>
      <c r="C10" s="353">
        <v>0</v>
      </c>
    </row>
    <row r="11" spans="1:3" x14ac:dyDescent="0.25">
      <c r="A11" s="260" t="s">
        <v>780</v>
      </c>
      <c r="B11" s="353">
        <v>0</v>
      </c>
      <c r="C11" s="353">
        <v>0</v>
      </c>
    </row>
    <row r="12" spans="1:3" x14ac:dyDescent="0.25">
      <c r="A12" s="106" t="s">
        <v>923</v>
      </c>
      <c r="B12" s="353">
        <v>0</v>
      </c>
      <c r="C12" s="374">
        <v>192015926.69</v>
      </c>
    </row>
    <row r="13" spans="1:3" x14ac:dyDescent="0.25">
      <c r="A13" s="103" t="s">
        <v>2</v>
      </c>
      <c r="B13" s="398">
        <f>SUM($B$9:B12)</f>
        <v>0</v>
      </c>
      <c r="C13" s="398">
        <f>SUM($C$9:C12)</f>
        <v>192015926.69</v>
      </c>
    </row>
  </sheetData>
  <mergeCells count="3">
    <mergeCell ref="A4:C4"/>
    <mergeCell ref="A7:A8"/>
    <mergeCell ref="B6:C6"/>
  </mergeCells>
  <hyperlinks>
    <hyperlink ref="C1" location="BG!A1" display="BG" xr:uid="{00000000-0004-0000-1600-000000000000}"/>
  </hyperlink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Hoja24">
    <tabColor rgb="FFFFFF00"/>
    <pageSetUpPr fitToPage="1"/>
  </sheetPr>
  <dimension ref="A1:G18"/>
  <sheetViews>
    <sheetView showGridLines="0" topLeftCell="D29" zoomScaleNormal="100" zoomScaleSheetLayoutView="80" workbookViewId="0">
      <selection activeCell="A3" sqref="A3:G16"/>
    </sheetView>
  </sheetViews>
  <sheetFormatPr baseColWidth="10" defaultRowHeight="15" x14ac:dyDescent="0.25"/>
  <cols>
    <col min="1" max="1" width="33.140625" customWidth="1"/>
    <col min="2" max="3" width="14.5703125" bestFit="1" customWidth="1"/>
    <col min="4" max="4" width="3.7109375" bestFit="1" customWidth="1"/>
    <col min="5" max="5" width="33.140625" customWidth="1"/>
    <col min="6" max="6" width="14.140625" customWidth="1"/>
    <col min="7" max="7" width="12.28515625" bestFit="1" customWidth="1"/>
  </cols>
  <sheetData>
    <row r="1" spans="1:7" x14ac:dyDescent="0.25">
      <c r="A1" t="str">
        <f>Indice!C1</f>
        <v>SALLUSTRO Y CIA. S.A.</v>
      </c>
      <c r="D1" s="121" t="s">
        <v>117</v>
      </c>
    </row>
    <row r="3" spans="1:7" x14ac:dyDescent="0.25">
      <c r="A3" s="239" t="s">
        <v>280</v>
      </c>
      <c r="B3" s="239"/>
      <c r="C3" s="239"/>
    </row>
    <row r="4" spans="1:7" x14ac:dyDescent="0.25">
      <c r="A4" s="662" t="s">
        <v>258</v>
      </c>
      <c r="B4" s="662"/>
    </row>
    <row r="5" spans="1:7" x14ac:dyDescent="0.25">
      <c r="A5" s="10"/>
      <c r="E5" s="10"/>
      <c r="F5" s="226"/>
      <c r="G5" s="226"/>
    </row>
    <row r="6" spans="1:7" x14ac:dyDescent="0.25">
      <c r="A6" s="22" t="s">
        <v>56</v>
      </c>
      <c r="B6" s="306">
        <f>IFERROR(IF(Indice!B6="","2XX2",YEAR(Indice!B6)),"2XX2")</f>
        <v>2024</v>
      </c>
      <c r="C6" s="306">
        <f>IFERROR(YEAR(Indice!B6-366),"2XX1")</f>
        <v>2023</v>
      </c>
      <c r="E6" s="22" t="s">
        <v>769</v>
      </c>
      <c r="F6" s="306">
        <f>IFERROR(IF(Indice!B6="","2XX2",YEAR(Indice!B6)),"2XX2")</f>
        <v>2024</v>
      </c>
      <c r="G6" s="306">
        <f>IFERROR(YEAR(Indice!B6-366),"2XX1")</f>
        <v>2023</v>
      </c>
    </row>
    <row r="7" spans="1:7" hidden="1" x14ac:dyDescent="0.25">
      <c r="A7" s="23" t="s">
        <v>126</v>
      </c>
      <c r="B7" s="356">
        <v>0</v>
      </c>
      <c r="C7" s="356">
        <v>0</v>
      </c>
      <c r="E7" s="23" t="s">
        <v>127</v>
      </c>
      <c r="F7" s="357">
        <v>0</v>
      </c>
      <c r="G7" s="357">
        <v>0</v>
      </c>
    </row>
    <row r="8" spans="1:7" hidden="1" x14ac:dyDescent="0.25">
      <c r="A8" s="10" t="s">
        <v>777</v>
      </c>
      <c r="B8" s="356">
        <v>0</v>
      </c>
      <c r="C8" s="356">
        <v>0</v>
      </c>
      <c r="E8" s="10" t="s">
        <v>777</v>
      </c>
      <c r="F8" s="357">
        <v>0</v>
      </c>
      <c r="G8" s="357">
        <v>0</v>
      </c>
    </row>
    <row r="9" spans="1:7" hidden="1" x14ac:dyDescent="0.25">
      <c r="A9" s="10" t="s">
        <v>125</v>
      </c>
      <c r="B9" s="356">
        <v>0</v>
      </c>
      <c r="C9" s="356">
        <v>0</v>
      </c>
      <c r="E9" s="10" t="s">
        <v>125</v>
      </c>
      <c r="F9" s="357">
        <v>0</v>
      </c>
      <c r="G9" s="357">
        <v>0</v>
      </c>
    </row>
    <row r="10" spans="1:7" x14ac:dyDescent="0.25">
      <c r="A10" s="10" t="s">
        <v>926</v>
      </c>
      <c r="B10" s="374">
        <v>500000000</v>
      </c>
      <c r="C10" s="374">
        <v>500000000</v>
      </c>
      <c r="E10" s="10" t="s">
        <v>924</v>
      </c>
      <c r="F10" s="356">
        <v>1555000000</v>
      </c>
      <c r="G10" s="356">
        <v>0</v>
      </c>
    </row>
    <row r="11" spans="1:7" x14ac:dyDescent="0.25">
      <c r="A11" s="10" t="s">
        <v>1158</v>
      </c>
      <c r="B11" s="489">
        <v>0</v>
      </c>
      <c r="C11" s="374">
        <v>150000000</v>
      </c>
      <c r="E11" s="10" t="s">
        <v>1161</v>
      </c>
      <c r="F11" s="356">
        <v>700000000</v>
      </c>
      <c r="G11" s="356">
        <v>500000000</v>
      </c>
    </row>
    <row r="12" spans="1:7" x14ac:dyDescent="0.25">
      <c r="A12" s="10" t="s">
        <v>1085</v>
      </c>
      <c r="B12" s="490">
        <v>0</v>
      </c>
      <c r="C12" s="490">
        <v>441292148.13999999</v>
      </c>
      <c r="E12" s="10" t="s">
        <v>1159</v>
      </c>
      <c r="F12" s="490">
        <v>392170500</v>
      </c>
      <c r="G12" s="490">
        <v>364181000</v>
      </c>
    </row>
    <row r="13" spans="1:7" hidden="1" x14ac:dyDescent="0.25">
      <c r="A13" s="10" t="s">
        <v>925</v>
      </c>
      <c r="B13" s="356">
        <v>0</v>
      </c>
      <c r="C13" s="356">
        <v>0</v>
      </c>
      <c r="E13" s="10" t="s">
        <v>1160</v>
      </c>
      <c r="F13" s="490">
        <v>0</v>
      </c>
      <c r="G13" s="490">
        <v>0</v>
      </c>
    </row>
    <row r="14" spans="1:7" x14ac:dyDescent="0.25">
      <c r="A14" s="10" t="s">
        <v>1238</v>
      </c>
      <c r="B14" s="574">
        <v>19000000</v>
      </c>
      <c r="C14" s="574">
        <v>0</v>
      </c>
      <c r="E14" s="10"/>
      <c r="F14" s="490"/>
      <c r="G14" s="490"/>
    </row>
    <row r="15" spans="1:7" x14ac:dyDescent="0.25">
      <c r="E15" s="10"/>
      <c r="F15" s="490"/>
      <c r="G15" s="490"/>
    </row>
    <row r="16" spans="1:7" s="26" customFormat="1" ht="15.75" thickBot="1" x14ac:dyDescent="0.3">
      <c r="A16" s="25" t="s">
        <v>14</v>
      </c>
      <c r="B16" s="21">
        <f>SUM(B7:B15)</f>
        <v>519000000</v>
      </c>
      <c r="C16" s="21">
        <f>SUM(C7:C15)</f>
        <v>1091292148.1399999</v>
      </c>
      <c r="E16" s="25" t="s">
        <v>14</v>
      </c>
      <c r="F16" s="21">
        <f>SUM(F7:F15)</f>
        <v>2647170500</v>
      </c>
      <c r="G16" s="21">
        <f>SUM(G7:G15)</f>
        <v>864181000</v>
      </c>
    </row>
    <row r="17" spans="1:7" s="26" customFormat="1" ht="15.75" thickTop="1" x14ac:dyDescent="0.25">
      <c r="A17" s="25"/>
      <c r="B17" s="69"/>
      <c r="C17" s="70"/>
    </row>
    <row r="18" spans="1:7" x14ac:dyDescent="0.25">
      <c r="E18" s="25"/>
      <c r="F18" s="10"/>
      <c r="G18" s="15"/>
    </row>
  </sheetData>
  <mergeCells count="1">
    <mergeCell ref="A4:B4"/>
  </mergeCells>
  <hyperlinks>
    <hyperlink ref="D1" location="BG!A1" display="BG" xr:uid="{00000000-0004-0000-1700-000000000000}"/>
  </hyperlinks>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Hoja25">
    <tabColor rgb="FFFFFF00"/>
    <pageSetUpPr fitToPage="1"/>
  </sheetPr>
  <dimension ref="A1:I11"/>
  <sheetViews>
    <sheetView showGridLines="0" zoomScaleNormal="100" zoomScaleSheetLayoutView="100" workbookViewId="0">
      <selection activeCell="B10" sqref="B10"/>
    </sheetView>
  </sheetViews>
  <sheetFormatPr baseColWidth="10" defaultRowHeight="15" x14ac:dyDescent="0.25"/>
  <cols>
    <col min="1" max="1" width="23.5703125" bestFit="1" customWidth="1"/>
    <col min="2" max="3" width="16.7109375" bestFit="1" customWidth="1"/>
    <col min="4" max="4" width="1.140625" customWidth="1"/>
    <col min="6" max="6" width="1.140625" customWidth="1"/>
    <col min="7" max="7" width="18.140625" customWidth="1"/>
    <col min="8" max="8" width="1.140625" customWidth="1"/>
    <col min="9" max="9" width="13.140625" customWidth="1"/>
  </cols>
  <sheetData>
    <row r="1" spans="1:9" x14ac:dyDescent="0.25">
      <c r="A1" t="str">
        <f>Indice!C1</f>
        <v>SALLUSTRO Y CIA. S.A.</v>
      </c>
      <c r="B1" s="121" t="s">
        <v>117</v>
      </c>
    </row>
    <row r="4" spans="1:9" x14ac:dyDescent="0.25">
      <c r="A4" s="663" t="s">
        <v>282</v>
      </c>
      <c r="B4" s="663"/>
      <c r="C4" s="663"/>
      <c r="D4" s="195"/>
      <c r="E4" s="195"/>
      <c r="F4" s="195"/>
      <c r="G4" s="195"/>
      <c r="H4" s="195"/>
      <c r="I4" s="195"/>
    </row>
    <row r="6" spans="1:9" x14ac:dyDescent="0.25">
      <c r="A6" t="s">
        <v>782</v>
      </c>
      <c r="B6" s="306">
        <f>IFERROR(IF(Indice!B6="","2XX2",YEAR(Indice!B6)),"2XX2")</f>
        <v>2024</v>
      </c>
      <c r="C6" s="306">
        <f>IFERROR(YEAR(Indice!B6-366),"2XX1")</f>
        <v>2023</v>
      </c>
    </row>
    <row r="7" spans="1:9" ht="15" customHeight="1" x14ac:dyDescent="0.25">
      <c r="A7" t="s">
        <v>783</v>
      </c>
      <c r="B7" s="356">
        <v>68000000000</v>
      </c>
      <c r="C7" s="356">
        <v>68000000000</v>
      </c>
    </row>
    <row r="8" spans="1:9" x14ac:dyDescent="0.25">
      <c r="A8" t="s">
        <v>786</v>
      </c>
      <c r="B8" s="356">
        <v>68000000000</v>
      </c>
      <c r="C8" s="356">
        <v>68000000000</v>
      </c>
    </row>
    <row r="9" spans="1:9" ht="15" customHeight="1" x14ac:dyDescent="0.25">
      <c r="A9" t="s">
        <v>785</v>
      </c>
      <c r="B9" s="356">
        <f>+B8/B10</f>
        <v>680000</v>
      </c>
      <c r="C9" s="356">
        <f>+C8/C10</f>
        <v>680000</v>
      </c>
    </row>
    <row r="10" spans="1:9" ht="15" customHeight="1" x14ac:dyDescent="0.25">
      <c r="A10" s="258" t="s">
        <v>784</v>
      </c>
      <c r="B10" s="359">
        <v>100000</v>
      </c>
      <c r="C10" s="359">
        <v>100000</v>
      </c>
    </row>
    <row r="11" spans="1:9" x14ac:dyDescent="0.25">
      <c r="A11" t="s">
        <v>2</v>
      </c>
      <c r="B11" s="382">
        <f>+B8</f>
        <v>68000000000</v>
      </c>
      <c r="C11" s="382">
        <f>+C8</f>
        <v>68000000000</v>
      </c>
    </row>
  </sheetData>
  <mergeCells count="1">
    <mergeCell ref="A4:C4"/>
  </mergeCells>
  <hyperlinks>
    <hyperlink ref="B1" location="BG!A1" display="BG" xr:uid="{00000000-0004-0000-1800-000000000000}"/>
  </hyperlink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Hoja26">
    <tabColor rgb="FFFFFF00"/>
    <pageSetUpPr fitToPage="1"/>
  </sheetPr>
  <dimension ref="A1:O37"/>
  <sheetViews>
    <sheetView topLeftCell="C21" zoomScaleNormal="100" zoomScaleSheetLayoutView="90" workbookViewId="0">
      <selection activeCell="A4" sqref="A4:H38"/>
    </sheetView>
  </sheetViews>
  <sheetFormatPr baseColWidth="10" defaultRowHeight="15" x14ac:dyDescent="0.25"/>
  <cols>
    <col min="1" max="1" width="27.5703125" style="103" bestFit="1" customWidth="1"/>
    <col min="2" max="2" width="18.5703125" style="103" customWidth="1"/>
    <col min="3" max="3" width="16.7109375" style="103" customWidth="1"/>
    <col min="4" max="15" width="11.5703125" style="103" customWidth="1"/>
  </cols>
  <sheetData>
    <row r="1" spans="1:13" x14ac:dyDescent="0.25">
      <c r="A1" s="103" t="str">
        <f>Indice!C1</f>
        <v>SALLUSTRO Y CIA. S.A.</v>
      </c>
      <c r="F1" s="122" t="s">
        <v>117</v>
      </c>
    </row>
    <row r="3" spans="1:13" x14ac:dyDescent="0.25">
      <c r="J3" s="26"/>
      <c r="K3" s="26"/>
    </row>
    <row r="4" spans="1:13" x14ac:dyDescent="0.25">
      <c r="A4" s="637" t="s">
        <v>283</v>
      </c>
      <c r="B4" s="637"/>
      <c r="C4" s="637"/>
      <c r="D4" s="637"/>
      <c r="E4" s="637"/>
      <c r="F4" s="637"/>
      <c r="G4" s="125"/>
      <c r="H4" s="125"/>
      <c r="I4" s="125"/>
      <c r="J4" s="26"/>
      <c r="K4" s="26"/>
      <c r="L4" s="125"/>
      <c r="M4" s="125"/>
    </row>
    <row r="5" spans="1:13" x14ac:dyDescent="0.25">
      <c r="J5" s="26"/>
      <c r="K5" s="26"/>
    </row>
    <row r="6" spans="1:13" x14ac:dyDescent="0.25">
      <c r="B6" s="652" t="s">
        <v>258</v>
      </c>
      <c r="C6" s="652"/>
    </row>
    <row r="7" spans="1:13" x14ac:dyDescent="0.25">
      <c r="B7" s="306">
        <f>IFERROR(IF(Indice!B6="","2XX2",YEAR(Indice!B6)),"2XX2")</f>
        <v>2024</v>
      </c>
      <c r="C7" s="306">
        <f>IFERROR(YEAR(Indice!B6-366),"2XX1")</f>
        <v>2023</v>
      </c>
    </row>
    <row r="8" spans="1:13" x14ac:dyDescent="0.25">
      <c r="A8" s="261" t="s">
        <v>129</v>
      </c>
      <c r="B8" s="360">
        <f>SUM(B9:B10)</f>
        <v>3812149991</v>
      </c>
      <c r="C8" s="360">
        <f>SUM(C9:C10)</f>
        <v>3812149991.3299999</v>
      </c>
    </row>
    <row r="9" spans="1:13" x14ac:dyDescent="0.25">
      <c r="A9" s="108" t="s">
        <v>1013</v>
      </c>
      <c r="B9" s="374">
        <v>3642207544</v>
      </c>
      <c r="C9" s="374">
        <v>3642207544.3299999</v>
      </c>
    </row>
    <row r="10" spans="1:13" x14ac:dyDescent="0.25">
      <c r="A10" s="108" t="s">
        <v>1014</v>
      </c>
      <c r="B10" s="374">
        <v>169942447</v>
      </c>
      <c r="C10" s="374">
        <v>169942447</v>
      </c>
    </row>
    <row r="11" spans="1:13" x14ac:dyDescent="0.25">
      <c r="A11" s="108"/>
      <c r="B11" s="353"/>
      <c r="C11" s="353"/>
    </row>
    <row r="12" spans="1:13" x14ac:dyDescent="0.25">
      <c r="A12" s="108"/>
      <c r="B12" s="353"/>
      <c r="C12" s="353"/>
    </row>
    <row r="13" spans="1:13" x14ac:dyDescent="0.25">
      <c r="A13" s="108"/>
      <c r="B13" s="353"/>
      <c r="C13" s="353"/>
    </row>
    <row r="14" spans="1:13" x14ac:dyDescent="0.25">
      <c r="A14" s="108"/>
      <c r="B14" s="353"/>
      <c r="C14" s="353"/>
    </row>
    <row r="15" spans="1:13" x14ac:dyDescent="0.25">
      <c r="A15" s="108"/>
      <c r="B15" s="353"/>
      <c r="C15" s="353"/>
    </row>
    <row r="16" spans="1:13" x14ac:dyDescent="0.25">
      <c r="A16" s="108"/>
      <c r="B16" s="353"/>
      <c r="C16" s="353"/>
    </row>
    <row r="17" spans="1:3" x14ac:dyDescent="0.25">
      <c r="A17" s="108"/>
      <c r="B17" s="353"/>
      <c r="C17" s="353"/>
    </row>
    <row r="18" spans="1:3" x14ac:dyDescent="0.25">
      <c r="A18" s="108"/>
      <c r="B18" s="353"/>
      <c r="C18" s="353"/>
    </row>
    <row r="19" spans="1:3" x14ac:dyDescent="0.25">
      <c r="A19" s="108"/>
      <c r="B19" s="353"/>
      <c r="C19" s="353"/>
    </row>
    <row r="20" spans="1:3" x14ac:dyDescent="0.25">
      <c r="A20" s="108"/>
      <c r="B20" s="353"/>
      <c r="C20" s="353"/>
    </row>
    <row r="21" spans="1:3" x14ac:dyDescent="0.25">
      <c r="A21" s="108"/>
      <c r="B21" s="353"/>
      <c r="C21" s="353"/>
    </row>
    <row r="22" spans="1:3" ht="25.5" customHeight="1" x14ac:dyDescent="0.25">
      <c r="A22" s="108"/>
      <c r="B22" s="652" t="s">
        <v>258</v>
      </c>
      <c r="C22" s="652"/>
    </row>
    <row r="23" spans="1:3" x14ac:dyDescent="0.25">
      <c r="A23" s="108"/>
      <c r="B23" s="306">
        <f>IFERROR(IF(Indice!B6="","2XX2",YEAR(Indice!B6)),"2XX2")</f>
        <v>2024</v>
      </c>
      <c r="C23" s="306">
        <f>IFERROR(YEAR(Indice!B6-366),"2XX1")</f>
        <v>2023</v>
      </c>
    </row>
    <row r="24" spans="1:3" x14ac:dyDescent="0.25">
      <c r="A24" s="505" t="s">
        <v>130</v>
      </c>
      <c r="B24" s="374">
        <v>3715914770.6700001</v>
      </c>
      <c r="C24" s="374">
        <v>3225494833.7199998</v>
      </c>
    </row>
    <row r="25" spans="1:3" x14ac:dyDescent="0.25">
      <c r="A25" s="108"/>
      <c r="B25" s="353"/>
      <c r="C25" s="353"/>
    </row>
    <row r="26" spans="1:3" x14ac:dyDescent="0.25">
      <c r="A26" s="108"/>
      <c r="B26" s="353"/>
      <c r="C26" s="353"/>
    </row>
    <row r="27" spans="1:3" x14ac:dyDescent="0.25">
      <c r="A27" s="108"/>
      <c r="B27" s="353"/>
      <c r="C27" s="353"/>
    </row>
    <row r="28" spans="1:3" x14ac:dyDescent="0.25">
      <c r="A28" s="261" t="s">
        <v>131</v>
      </c>
      <c r="B28" s="360"/>
      <c r="C28" s="360"/>
    </row>
    <row r="29" spans="1:3" x14ac:dyDescent="0.25">
      <c r="A29" s="108"/>
      <c r="B29" s="353"/>
      <c r="C29" s="353"/>
    </row>
    <row r="30" spans="1:3" x14ac:dyDescent="0.25">
      <c r="A30" s="108"/>
      <c r="B30" s="353"/>
      <c r="C30" s="353"/>
    </row>
    <row r="31" spans="1:3" x14ac:dyDescent="0.25">
      <c r="A31" s="108"/>
      <c r="B31" s="353"/>
      <c r="C31" s="353"/>
    </row>
    <row r="32" spans="1:3" x14ac:dyDescent="0.25">
      <c r="A32" s="108"/>
      <c r="B32" s="652" t="s">
        <v>258</v>
      </c>
      <c r="C32" s="652"/>
    </row>
    <row r="33" spans="1:3" x14ac:dyDescent="0.25">
      <c r="A33" s="108"/>
      <c r="B33" s="306">
        <f>IFERROR(IF(Indice!B6="","2XX2",YEAR(Indice!B6)),"2XX2")</f>
        <v>2024</v>
      </c>
      <c r="C33" s="306">
        <f>IFERROR(YEAR(Indice!B6-366),"2XX1")</f>
        <v>2023</v>
      </c>
    </row>
    <row r="34" spans="1:3" x14ac:dyDescent="0.25">
      <c r="A34" s="108"/>
      <c r="B34" s="353"/>
      <c r="C34" s="353"/>
    </row>
    <row r="35" spans="1:3" x14ac:dyDescent="0.25">
      <c r="A35" s="261" t="s">
        <v>132</v>
      </c>
      <c r="B35" s="360">
        <f>SUM(B36:B37)</f>
        <v>25427841966.209999</v>
      </c>
      <c r="C35" s="360">
        <f>SUM(C36:C37)</f>
        <v>18867849129.209999</v>
      </c>
    </row>
    <row r="36" spans="1:3" x14ac:dyDescent="0.25">
      <c r="A36" s="103" t="s">
        <v>889</v>
      </c>
      <c r="B36" s="374">
        <v>48191</v>
      </c>
      <c r="C36" s="374">
        <v>48191</v>
      </c>
    </row>
    <row r="37" spans="1:3" x14ac:dyDescent="0.25">
      <c r="A37" s="103" t="s">
        <v>890</v>
      </c>
      <c r="B37" s="353">
        <v>25427793775.209999</v>
      </c>
      <c r="C37" s="353">
        <v>18867800938.209999</v>
      </c>
    </row>
  </sheetData>
  <mergeCells count="4">
    <mergeCell ref="A4:F4"/>
    <mergeCell ref="B6:C6"/>
    <mergeCell ref="B22:C22"/>
    <mergeCell ref="B32:C32"/>
  </mergeCells>
  <hyperlinks>
    <hyperlink ref="F1" location="BG!A1" display="BG" xr:uid="{00000000-0004-0000-1900-000000000000}"/>
  </hyperlinks>
  <printOptions horizontalCentered="1"/>
  <pageMargins left="0.70866141732283472" right="0.70866141732283472" top="0.74803149606299213" bottom="0.74803149606299213" header="0.31496062992125984" footer="0.31496062992125984"/>
  <pageSetup paperSize="9" scale="72" orientation="portrait" r:id="rId1"/>
  <colBreaks count="1" manualBreakCount="1">
    <brk id="8" max="1048575" man="1"/>
  </colBreaks>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Hoja27">
    <tabColor rgb="FFFFFF00"/>
    <pageSetUpPr fitToPage="1"/>
  </sheetPr>
  <dimension ref="A1:Y10"/>
  <sheetViews>
    <sheetView zoomScaleNormal="100" zoomScaleSheetLayoutView="90" workbookViewId="0">
      <selection activeCell="A4" sqref="A4"/>
    </sheetView>
  </sheetViews>
  <sheetFormatPr baseColWidth="10" defaultRowHeight="15" x14ac:dyDescent="0.25"/>
  <cols>
    <col min="1" max="1" width="34.42578125" style="26" customWidth="1"/>
    <col min="2" max="3" width="19" style="26" customWidth="1"/>
    <col min="4" max="25" width="11.5703125" style="26" customWidth="1"/>
  </cols>
  <sheetData>
    <row r="1" spans="1:6" x14ac:dyDescent="0.25">
      <c r="A1" s="26" t="str">
        <f>Indice!C1</f>
        <v>SALLUSTRO Y CIA. S.A.</v>
      </c>
      <c r="C1" s="126" t="s">
        <v>117</v>
      </c>
    </row>
    <row r="4" spans="1:6" x14ac:dyDescent="0.25">
      <c r="A4" s="239" t="s">
        <v>927</v>
      </c>
      <c r="B4" s="239"/>
      <c r="C4" s="239"/>
      <c r="D4" s="239"/>
      <c r="E4" s="195"/>
      <c r="F4" s="196"/>
    </row>
    <row r="6" spans="1:6" x14ac:dyDescent="0.25">
      <c r="B6" s="652" t="s">
        <v>258</v>
      </c>
      <c r="C6" s="652"/>
    </row>
    <row r="7" spans="1:6" x14ac:dyDescent="0.25">
      <c r="B7" s="306">
        <f>IFERROR(IF(Indice!B6="","2XX2",YEAR(Indice!B6)),"2XX2")</f>
        <v>2024</v>
      </c>
      <c r="C7" s="306">
        <f>+IFERROR(YEAR(Indice!B6-366),"2XX1")</f>
        <v>2023</v>
      </c>
    </row>
    <row r="8" spans="1:6" x14ac:dyDescent="0.25">
      <c r="A8" s="127" t="s">
        <v>61</v>
      </c>
    </row>
    <row r="10" spans="1:6" ht="19.149999999999999" customHeight="1" x14ac:dyDescent="0.25"/>
  </sheetData>
  <mergeCells count="1">
    <mergeCell ref="B6:C6"/>
  </mergeCells>
  <hyperlinks>
    <hyperlink ref="C1" location="BG!A1" display="BG" xr:uid="{00000000-0004-0000-1A00-000000000000}"/>
  </hyperlink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Hoja28">
    <tabColor rgb="FFFFFF00"/>
    <pageSetUpPr fitToPage="1"/>
  </sheetPr>
  <dimension ref="A1:AF10"/>
  <sheetViews>
    <sheetView topLeftCell="C4" zoomScaleNormal="100" zoomScaleSheetLayoutView="90" workbookViewId="0">
      <selection activeCell="A4" sqref="A4:C11"/>
    </sheetView>
  </sheetViews>
  <sheetFormatPr baseColWidth="10" defaultColWidth="40.5703125" defaultRowHeight="15" x14ac:dyDescent="0.25"/>
  <cols>
    <col min="1" max="1" width="43.42578125" style="26" bestFit="1" customWidth="1"/>
    <col min="2" max="3" width="15" style="26" bestFit="1" customWidth="1"/>
    <col min="4" max="4" width="8.5703125" style="26" customWidth="1"/>
    <col min="5" max="32" width="40.5703125" style="26"/>
  </cols>
  <sheetData>
    <row r="1" spans="1:6" x14ac:dyDescent="0.25">
      <c r="A1" s="26" t="str">
        <f>Indice!C1</f>
        <v>SALLUSTRO Y CIA. S.A.</v>
      </c>
      <c r="C1" s="126" t="s">
        <v>117</v>
      </c>
    </row>
    <row r="4" spans="1:6" x14ac:dyDescent="0.25">
      <c r="A4" s="239" t="s">
        <v>284</v>
      </c>
      <c r="B4" s="239"/>
      <c r="C4" s="239"/>
      <c r="D4" s="239"/>
      <c r="E4" s="239"/>
      <c r="F4" s="239"/>
    </row>
    <row r="6" spans="1:6" x14ac:dyDescent="0.25">
      <c r="B6" s="652" t="s">
        <v>258</v>
      </c>
      <c r="C6" s="652"/>
    </row>
    <row r="7" spans="1:6" x14ac:dyDescent="0.25">
      <c r="A7" s="127"/>
      <c r="B7" s="306">
        <f>IFERROR(IF(Indice!B6="","2XX2",YEAR(Indice!B6)),"2XX2")</f>
        <v>2024</v>
      </c>
      <c r="C7" s="306">
        <f>+IFERROR(YEAR(Indice!B6-366),"2XX1")</f>
        <v>2023</v>
      </c>
    </row>
    <row r="8" spans="1:6" x14ac:dyDescent="0.25">
      <c r="A8" s="26" t="s">
        <v>133</v>
      </c>
      <c r="B8" s="361">
        <v>0</v>
      </c>
      <c r="C8" s="361">
        <v>0</v>
      </c>
    </row>
    <row r="9" spans="1:6" ht="15" customHeight="1" x14ac:dyDescent="0.25">
      <c r="A9" t="s">
        <v>135</v>
      </c>
      <c r="B9" s="506">
        <v>9317978802.1200008</v>
      </c>
      <c r="C9" s="506">
        <v>12548373656.1</v>
      </c>
    </row>
    <row r="10" spans="1:6" x14ac:dyDescent="0.25">
      <c r="A10" s="26" t="s">
        <v>262</v>
      </c>
      <c r="B10" s="393">
        <f>SUM($B$8:B9)</f>
        <v>9317978802.1200008</v>
      </c>
      <c r="C10" s="393">
        <f>SUM($C$8:C9)</f>
        <v>12548373656.1</v>
      </c>
    </row>
  </sheetData>
  <mergeCells count="1">
    <mergeCell ref="B6:C6"/>
  </mergeCells>
  <hyperlinks>
    <hyperlink ref="C1" location="BG!A1" display="BG" xr:uid="{00000000-0004-0000-1B00-000000000000}"/>
  </hyperlink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Hoja29">
    <tabColor rgb="FFFFFF00"/>
    <pageSetUpPr fitToPage="1"/>
  </sheetPr>
  <dimension ref="A1:AH15"/>
  <sheetViews>
    <sheetView topLeftCell="A7" zoomScaleNormal="100" zoomScaleSheetLayoutView="70" workbookViewId="0">
      <selection activeCell="D9" sqref="D9"/>
    </sheetView>
  </sheetViews>
  <sheetFormatPr baseColWidth="10" defaultRowHeight="15" x14ac:dyDescent="0.25"/>
  <cols>
    <col min="1" max="1" width="37.5703125" style="26" bestFit="1" customWidth="1"/>
    <col min="2" max="3" width="19" style="26" customWidth="1"/>
    <col min="4" max="6" width="11.5703125" style="26" customWidth="1"/>
    <col min="7" max="34" width="11.5703125" style="103" customWidth="1"/>
  </cols>
  <sheetData>
    <row r="1" spans="1:6" x14ac:dyDescent="0.25">
      <c r="A1" s="26" t="str">
        <f>Indice!C1</f>
        <v>SALLUSTRO Y CIA. S.A.</v>
      </c>
      <c r="B1" s="126" t="s">
        <v>117</v>
      </c>
    </row>
    <row r="4" spans="1:6" x14ac:dyDescent="0.25">
      <c r="A4" s="239" t="s">
        <v>285</v>
      </c>
      <c r="B4" s="239"/>
      <c r="C4" s="239"/>
      <c r="D4" s="239"/>
      <c r="E4" s="195"/>
      <c r="F4" s="196"/>
    </row>
    <row r="6" spans="1:6" x14ac:dyDescent="0.25">
      <c r="B6" s="652" t="s">
        <v>258</v>
      </c>
      <c r="C6" s="652"/>
    </row>
    <row r="7" spans="1:6" x14ac:dyDescent="0.25">
      <c r="A7" s="127"/>
      <c r="B7" s="306">
        <f>IFERROR(IF(Indice!B6="","2XX2",YEAR(Indice!B6)),"2XX2")</f>
        <v>2024</v>
      </c>
      <c r="C7" s="306">
        <f>+IFERROR(YEAR(Indice!B6-366),"2XX1")</f>
        <v>2023</v>
      </c>
    </row>
    <row r="8" spans="1:6" x14ac:dyDescent="0.25">
      <c r="A8" s="26" t="s">
        <v>74</v>
      </c>
    </row>
    <row r="15" spans="1:6" x14ac:dyDescent="0.25">
      <c r="A15" s="103"/>
      <c r="B15" s="103"/>
      <c r="C15" s="103"/>
    </row>
  </sheetData>
  <mergeCells count="1">
    <mergeCell ref="B6:C6"/>
  </mergeCells>
  <hyperlinks>
    <hyperlink ref="B1" location="BG!A1" display="BG" xr:uid="{00000000-0004-0000-1C00-000000000000}"/>
  </hyperlink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tabColor rgb="FFFFFF00"/>
  </sheetPr>
  <dimension ref="A1:F46"/>
  <sheetViews>
    <sheetView showGridLines="0" zoomScale="90" zoomScaleNormal="90" zoomScaleSheetLayoutView="70" workbookViewId="0">
      <selection activeCell="A3" sqref="A3:D28"/>
    </sheetView>
  </sheetViews>
  <sheetFormatPr baseColWidth="10" defaultColWidth="11.42578125" defaultRowHeight="12.75" x14ac:dyDescent="0.2"/>
  <cols>
    <col min="1" max="1" width="66" style="2" customWidth="1"/>
    <col min="2" max="2" width="12.7109375" style="171" customWidth="1"/>
    <col min="3" max="3" width="25.42578125" style="475" customWidth="1"/>
    <col min="4" max="4" width="28" style="272" customWidth="1"/>
    <col min="5" max="5" width="19.140625" style="430" bestFit="1" customWidth="1"/>
    <col min="6" max="6" width="17.42578125" style="430" bestFit="1" customWidth="1"/>
    <col min="7" max="16384" width="11.42578125" style="2"/>
  </cols>
  <sheetData>
    <row r="1" spans="1:6" ht="15" x14ac:dyDescent="0.2">
      <c r="A1" s="16" t="str">
        <f>Indice!C1</f>
        <v>SALLUSTRO Y CIA. S.A.</v>
      </c>
      <c r="B1" s="172" t="s">
        <v>330</v>
      </c>
    </row>
    <row r="3" spans="1:6" x14ac:dyDescent="0.2">
      <c r="A3" s="590" t="s">
        <v>248</v>
      </c>
      <c r="B3" s="590"/>
      <c r="C3" s="590"/>
      <c r="D3" s="590"/>
    </row>
    <row r="4" spans="1:6" x14ac:dyDescent="0.2">
      <c r="A4" s="590" t="str">
        <f>IFERROR(IF(Indice!B6="","Al dia... de mes… de año 2XX2…","Al "&amp;DAY(Indice!B6)&amp;" de "&amp;VLOOKUP(MONTH(Indice!B6),Indice!P:Q,2,0)&amp;" de "&amp;YEAR(Indice!B6)),"Al dia... de mes… de año 2XX2…")</f>
        <v>Al 31 de Diciembre de 2024</v>
      </c>
      <c r="B4" s="590"/>
      <c r="C4" s="590"/>
      <c r="D4" s="590"/>
    </row>
    <row r="5" spans="1:6" x14ac:dyDescent="0.2">
      <c r="A5" s="600" t="s">
        <v>249</v>
      </c>
      <c r="B5" s="600"/>
      <c r="C5" s="600"/>
      <c r="D5" s="600"/>
    </row>
    <row r="6" spans="1:6" x14ac:dyDescent="0.2">
      <c r="A6" s="600" t="s">
        <v>213</v>
      </c>
      <c r="B6" s="600"/>
      <c r="C6" s="600"/>
      <c r="D6" s="600"/>
    </row>
    <row r="7" spans="1:6" x14ac:dyDescent="0.2">
      <c r="A7" s="85"/>
      <c r="B7" s="181"/>
    </row>
    <row r="8" spans="1:6" ht="15" x14ac:dyDescent="0.3">
      <c r="A8" s="86"/>
      <c r="B8" s="173" t="s">
        <v>175</v>
      </c>
      <c r="C8" s="423">
        <f>IFERROR(IF(Indice!B6="","2XX2",YEAR(Indice!B6)),"2XX2")</f>
        <v>2024</v>
      </c>
      <c r="D8" s="254">
        <f>IFERROR(YEAR(Indice!B6-366),"2XX1")</f>
        <v>2023</v>
      </c>
    </row>
    <row r="9" spans="1:6" ht="15" x14ac:dyDescent="0.25">
      <c r="A9" t="s">
        <v>54</v>
      </c>
      <c r="B9" s="180">
        <v>25</v>
      </c>
      <c r="C9" s="475">
        <f>'Nota 25'!B26</f>
        <v>278812793188.04999</v>
      </c>
      <c r="D9" s="270">
        <f>'Nota 25'!C26</f>
        <v>224942992830.59412</v>
      </c>
    </row>
    <row r="10" spans="1:6" ht="15" x14ac:dyDescent="0.25">
      <c r="A10" t="s">
        <v>136</v>
      </c>
      <c r="B10" s="180">
        <v>26</v>
      </c>
      <c r="C10" s="475">
        <f>'Nota 26'!B21*-1</f>
        <v>-178040863526.76001</v>
      </c>
      <c r="D10" s="270">
        <f>'Nota 26'!C21*-1</f>
        <v>-134447659855.78999</v>
      </c>
    </row>
    <row r="11" spans="1:6" s="16" customFormat="1" x14ac:dyDescent="0.2">
      <c r="A11" s="27" t="s">
        <v>63</v>
      </c>
      <c r="B11" s="177"/>
      <c r="C11" s="476">
        <f>C9+C10</f>
        <v>100771929661.28998</v>
      </c>
      <c r="D11" s="273">
        <f>D9+D10</f>
        <v>90495332974.804123</v>
      </c>
      <c r="E11" s="430"/>
      <c r="F11" s="430"/>
    </row>
    <row r="12" spans="1:6" ht="15" x14ac:dyDescent="0.25">
      <c r="A12" t="s">
        <v>214</v>
      </c>
      <c r="B12" s="180">
        <v>27</v>
      </c>
      <c r="C12" s="475">
        <f>'Nota 27'!B53*-1</f>
        <v>-64342485088.560005</v>
      </c>
      <c r="D12" s="270">
        <f>'Nota 27'!E53*-1</f>
        <v>-54349203531.970001</v>
      </c>
    </row>
    <row r="13" spans="1:6" ht="15" x14ac:dyDescent="0.25">
      <c r="A13" t="s">
        <v>216</v>
      </c>
      <c r="B13" s="180">
        <v>27</v>
      </c>
      <c r="C13" s="475">
        <f>'Nota 27'!C53*-1</f>
        <v>-20668700614.220001</v>
      </c>
      <c r="D13" s="270">
        <f>'Nota 27'!F53*-1</f>
        <v>-17204944363.550003</v>
      </c>
    </row>
    <row r="14" spans="1:6" ht="15" x14ac:dyDescent="0.25">
      <c r="A14" t="s">
        <v>218</v>
      </c>
      <c r="B14" s="180">
        <v>28</v>
      </c>
      <c r="C14" s="475">
        <f>+'Nota 28'!B19-'Nota 28'!F19</f>
        <v>10242833475.109999</v>
      </c>
      <c r="D14" s="271">
        <f>+'Nota 28'!C19-'Nota 28'!G19</f>
        <v>7882301069.8599987</v>
      </c>
    </row>
    <row r="15" spans="1:6" s="16" customFormat="1" x14ac:dyDescent="0.2">
      <c r="A15" s="27" t="s">
        <v>138</v>
      </c>
      <c r="B15" s="177"/>
      <c r="C15" s="476">
        <f>SUM(C11:C14)</f>
        <v>26003577433.619972</v>
      </c>
      <c r="D15" s="273">
        <f>SUM(D11:D14)</f>
        <v>26823486149.144119</v>
      </c>
      <c r="E15" s="430"/>
      <c r="F15" s="431"/>
    </row>
    <row r="16" spans="1:6" ht="15" x14ac:dyDescent="0.25">
      <c r="A16" t="s">
        <v>361</v>
      </c>
      <c r="B16" s="180">
        <v>29</v>
      </c>
      <c r="C16" s="475">
        <f>'Nota 29'!B15</f>
        <v>0</v>
      </c>
      <c r="D16" s="271">
        <f>'Nota 29'!C15</f>
        <v>0</v>
      </c>
      <c r="F16" s="431"/>
    </row>
    <row r="17" spans="1:6" ht="15" x14ac:dyDescent="0.25">
      <c r="A17" t="s">
        <v>360</v>
      </c>
      <c r="B17" s="180">
        <v>29</v>
      </c>
      <c r="C17" s="475">
        <f>'Nota 29'!F15*-1</f>
        <v>-15125491586.189999</v>
      </c>
      <c r="D17" s="271">
        <f>'Nota 29'!G15*-1</f>
        <v>-12371269677.760002</v>
      </c>
    </row>
    <row r="18" spans="1:6" s="16" customFormat="1" x14ac:dyDescent="0.2">
      <c r="A18" s="16" t="s">
        <v>53</v>
      </c>
      <c r="B18" s="394"/>
      <c r="C18" s="476">
        <f>SUM(C15:C17)</f>
        <v>10878085847.429974</v>
      </c>
      <c r="D18" s="273">
        <f>SUM(D15:D17)</f>
        <v>14452216471.384117</v>
      </c>
      <c r="E18" s="430"/>
      <c r="F18" s="431"/>
    </row>
    <row r="19" spans="1:6" ht="15" x14ac:dyDescent="0.25">
      <c r="A19" t="s">
        <v>142</v>
      </c>
      <c r="B19" s="180">
        <v>30</v>
      </c>
      <c r="C19" s="475">
        <f>'Nota 30'!B16</f>
        <v>0</v>
      </c>
      <c r="D19" s="271">
        <f>'Nota 30'!C16</f>
        <v>0</v>
      </c>
    </row>
    <row r="20" spans="1:6" ht="25.5" x14ac:dyDescent="0.2">
      <c r="A20" s="98" t="s">
        <v>362</v>
      </c>
      <c r="B20" s="177"/>
      <c r="C20" s="476">
        <f>C18+C19</f>
        <v>10878085847.429974</v>
      </c>
      <c r="D20" s="273">
        <f>D18+D19</f>
        <v>14452216471.384117</v>
      </c>
    </row>
    <row r="21" spans="1:6" ht="15" x14ac:dyDescent="0.25">
      <c r="A21" t="s">
        <v>143</v>
      </c>
      <c r="B21" s="180">
        <v>31</v>
      </c>
      <c r="C21" s="475">
        <f>'Nota 31'!B16</f>
        <v>0</v>
      </c>
      <c r="D21" s="271">
        <f>'Nota 31'!C16</f>
        <v>0</v>
      </c>
    </row>
    <row r="22" spans="1:6" x14ac:dyDescent="0.2">
      <c r="A22" s="98" t="s">
        <v>67</v>
      </c>
      <c r="B22" s="177"/>
      <c r="C22" s="476">
        <f>+C20</f>
        <v>10878085847.429974</v>
      </c>
      <c r="D22" s="273">
        <f>+D20</f>
        <v>14452216471.384117</v>
      </c>
    </row>
    <row r="23" spans="1:6" ht="15" x14ac:dyDescent="0.2">
      <c r="A23" s="2" t="s">
        <v>40</v>
      </c>
      <c r="B23" s="172">
        <v>32</v>
      </c>
      <c r="C23" s="475">
        <f>'Nota 32'!B10*-1</f>
        <v>-1560107045.3800001</v>
      </c>
      <c r="D23" s="271">
        <f>'Nota 32'!C10*-1</f>
        <v>-1903842815.6600001</v>
      </c>
    </row>
    <row r="24" spans="1:6" x14ac:dyDescent="0.2">
      <c r="A24" s="27" t="s">
        <v>363</v>
      </c>
      <c r="B24" s="177"/>
      <c r="C24" s="476">
        <f>C22+C23</f>
        <v>9317978802.0499725</v>
      </c>
      <c r="D24" s="273">
        <f>D22+D23</f>
        <v>12548373655.724117</v>
      </c>
    </row>
    <row r="25" spans="1:6" ht="15" x14ac:dyDescent="0.25">
      <c r="A25" t="s">
        <v>64</v>
      </c>
      <c r="B25" s="180">
        <v>33</v>
      </c>
      <c r="C25" s="476">
        <f>'Nota 33'!B10</f>
        <v>0</v>
      </c>
      <c r="D25" s="273">
        <f>'Nota 33'!C10</f>
        <v>0</v>
      </c>
    </row>
    <row r="26" spans="1:6" ht="15" x14ac:dyDescent="0.25">
      <c r="A26" t="s">
        <v>65</v>
      </c>
      <c r="B26" s="180">
        <v>34</v>
      </c>
      <c r="C26" s="475">
        <f>'Nota 34'!B12</f>
        <v>0</v>
      </c>
      <c r="D26" s="271">
        <f>'Nota 34'!C12</f>
        <v>0</v>
      </c>
    </row>
    <row r="27" spans="1:6" ht="15" x14ac:dyDescent="0.25">
      <c r="A27" s="84" t="s">
        <v>227</v>
      </c>
      <c r="B27"/>
      <c r="C27" s="476">
        <f>C24+C25+C26</f>
        <v>9317978802.0499725</v>
      </c>
      <c r="D27" s="273">
        <f>D24+D25+D26</f>
        <v>12548373655.724117</v>
      </c>
    </row>
    <row r="28" spans="1:6" ht="15" x14ac:dyDescent="0.25">
      <c r="A28" s="84" t="s">
        <v>66</v>
      </c>
      <c r="B28" s="180">
        <v>35</v>
      </c>
      <c r="C28" s="475">
        <f>'Nota 35'!B10</f>
        <v>0</v>
      </c>
      <c r="D28" s="475">
        <f>'Nota 35'!C10</f>
        <v>0</v>
      </c>
    </row>
    <row r="30" spans="1:6" x14ac:dyDescent="0.2">
      <c r="A30" s="27"/>
      <c r="B30" s="177"/>
      <c r="C30" s="477">
        <f>+C27-BG!F54</f>
        <v>-7.0028305053710938E-2</v>
      </c>
      <c r="D30" s="474"/>
    </row>
    <row r="31" spans="1:6" x14ac:dyDescent="0.2">
      <c r="A31" s="2" t="s">
        <v>355</v>
      </c>
    </row>
    <row r="35" spans="1:4" x14ac:dyDescent="0.2">
      <c r="A35" s="462"/>
      <c r="B35" s="413"/>
      <c r="C35" s="478"/>
      <c r="D35" s="458"/>
    </row>
    <row r="36" spans="1:4" x14ac:dyDescent="0.2">
      <c r="A36" s="462"/>
      <c r="B36" s="413"/>
      <c r="C36" s="479"/>
      <c r="D36" s="458"/>
    </row>
    <row r="37" spans="1:4" x14ac:dyDescent="0.2">
      <c r="A37" s="462"/>
      <c r="B37" s="413"/>
      <c r="C37" s="479"/>
      <c r="D37" s="458"/>
    </row>
    <row r="38" spans="1:4" x14ac:dyDescent="0.2">
      <c r="A38" s="462"/>
      <c r="B38" s="413"/>
      <c r="C38" s="479"/>
      <c r="D38" s="458"/>
    </row>
    <row r="40" spans="1:4" x14ac:dyDescent="0.2">
      <c r="A40" s="461"/>
      <c r="C40" s="599"/>
      <c r="D40" s="599"/>
    </row>
    <row r="41" spans="1:4" x14ac:dyDescent="0.2">
      <c r="A41" s="461"/>
      <c r="D41" s="274"/>
    </row>
    <row r="42" spans="1:4" x14ac:dyDescent="0.2">
      <c r="A42" s="461"/>
    </row>
    <row r="43" spans="1:4" x14ac:dyDescent="0.2">
      <c r="A43" s="412"/>
    </row>
    <row r="44" spans="1:4" x14ac:dyDescent="0.2">
      <c r="A44" s="412"/>
    </row>
    <row r="46" spans="1:4" x14ac:dyDescent="0.2">
      <c r="A46" s="330"/>
      <c r="C46" s="599"/>
      <c r="D46" s="599"/>
    </row>
  </sheetData>
  <mergeCells count="6">
    <mergeCell ref="C46:D46"/>
    <mergeCell ref="A3:D3"/>
    <mergeCell ref="A4:D4"/>
    <mergeCell ref="A5:D5"/>
    <mergeCell ref="A6:D6"/>
    <mergeCell ref="C40:D40"/>
  </mergeCells>
  <hyperlinks>
    <hyperlink ref="B9" location="'Nota 25'!A1" display="'Nota 25'!A1" xr:uid="{00000000-0004-0000-0200-000000000000}"/>
    <hyperlink ref="B10" location="'Nota 26'!A1" display="'Nota 26'!A1" xr:uid="{00000000-0004-0000-0200-000001000000}"/>
    <hyperlink ref="B12" location="'Nota 27'!A1" display="'Nota 27'!A1" xr:uid="{00000000-0004-0000-0200-000002000000}"/>
    <hyperlink ref="B13" location="'Nota 27'!A1" display="'Nota 27'!A1" xr:uid="{00000000-0004-0000-0200-000003000000}"/>
    <hyperlink ref="B14" location="'Nota 28'!A1" display="'Nota 28'!A1" xr:uid="{00000000-0004-0000-0200-000004000000}"/>
    <hyperlink ref="B17" location="'Nota 29'!A1" display="'Nota 29'!A1" xr:uid="{00000000-0004-0000-0200-000005000000}"/>
    <hyperlink ref="B16" location="'Nota 29'!A1" display="'Nota 29'!A1" xr:uid="{00000000-0004-0000-0200-000006000000}"/>
    <hyperlink ref="B19" location="'Nota 30'!A1" display="'Nota 30'!A1" xr:uid="{00000000-0004-0000-0200-000007000000}"/>
    <hyperlink ref="B21" location="'Nota 31'!A1" display="'Nota 31'!A1" xr:uid="{00000000-0004-0000-0200-000008000000}"/>
    <hyperlink ref="B23" location="'Nota 32'!A1" display="'Nota 32'!A1" xr:uid="{00000000-0004-0000-0200-000009000000}"/>
    <hyperlink ref="B25" location="'Nota 33'!A1" display="'Nota 33'!A1" xr:uid="{00000000-0004-0000-0200-00000A000000}"/>
    <hyperlink ref="B26" location="'Nota 34'!A1" display="'Nota 34'!A1" xr:uid="{00000000-0004-0000-0200-00000B000000}"/>
    <hyperlink ref="B28" location="'Nota 35'!A1" display="'Nota 35'!A1" xr:uid="{00000000-0004-0000-0200-00000C000000}"/>
    <hyperlink ref="B1" location="Indice!A1" display="Indice" xr:uid="{00000000-0004-0000-0200-00000D000000}"/>
  </hyperlinks>
  <printOptions horizont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Hoja30">
    <tabColor rgb="FFFFFF00"/>
    <pageSetUpPr fitToPage="1"/>
  </sheetPr>
  <dimension ref="A1:AE31"/>
  <sheetViews>
    <sheetView showGridLines="0" topLeftCell="B1" zoomScaleNormal="100" zoomScaleSheetLayoutView="90" workbookViewId="0">
      <selection activeCell="A5" sqref="A5:C26"/>
    </sheetView>
  </sheetViews>
  <sheetFormatPr baseColWidth="10" defaultRowHeight="15" x14ac:dyDescent="0.25"/>
  <cols>
    <col min="1" max="1" width="33" style="103" bestFit="1" customWidth="1"/>
    <col min="2" max="2" width="22" style="103" customWidth="1"/>
    <col min="3" max="3" width="17.28515625" style="103" bestFit="1" customWidth="1"/>
    <col min="4" max="4" width="17.85546875" style="103" customWidth="1"/>
    <col min="5" max="31" width="11.5703125" style="103" customWidth="1"/>
  </cols>
  <sheetData>
    <row r="1" spans="1:31" x14ac:dyDescent="0.25">
      <c r="A1" s="103" t="str">
        <f>Indice!C1</f>
        <v>SALLUSTRO Y CIA. S.A.</v>
      </c>
      <c r="B1" s="122" t="s">
        <v>128</v>
      </c>
    </row>
    <row r="5" spans="1:31" x14ac:dyDescent="0.25">
      <c r="A5" s="239" t="s">
        <v>286</v>
      </c>
      <c r="B5" s="239"/>
      <c r="C5" s="239"/>
      <c r="D5" s="239"/>
      <c r="E5" s="26"/>
      <c r="F5" s="26"/>
      <c r="G5" s="26"/>
      <c r="H5" s="26"/>
      <c r="I5" s="26"/>
      <c r="J5" s="26"/>
      <c r="K5" s="26"/>
      <c r="L5" s="26"/>
      <c r="M5" s="26"/>
      <c r="N5" s="26"/>
      <c r="O5" s="26"/>
      <c r="P5" s="26"/>
      <c r="Q5" s="26"/>
      <c r="R5" s="26"/>
      <c r="S5" s="26"/>
      <c r="T5" s="26"/>
      <c r="U5" s="26"/>
      <c r="V5" s="26"/>
      <c r="W5" s="26"/>
      <c r="X5" s="26"/>
      <c r="Y5" s="26"/>
      <c r="Z5" s="26"/>
      <c r="AA5" s="26"/>
      <c r="AB5" s="26"/>
      <c r="AC5" s="26"/>
      <c r="AD5" s="26"/>
      <c r="AE5"/>
    </row>
    <row r="8" spans="1:31" x14ac:dyDescent="0.25">
      <c r="B8" s="652" t="s">
        <v>258</v>
      </c>
      <c r="C8" s="652"/>
    </row>
    <row r="9" spans="1:31" x14ac:dyDescent="0.25">
      <c r="B9" s="306">
        <f>IFERROR(IF(Indice!B6="","2XX2",YEAR(Indice!B6)),"2XX2")</f>
        <v>2024</v>
      </c>
      <c r="C9" s="306">
        <f>+IFERROR(YEAR(Indice!B6-366),"2XX1")</f>
        <v>2023</v>
      </c>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row>
    <row r="10" spans="1:31" x14ac:dyDescent="0.25">
      <c r="A10" s="127" t="s">
        <v>54</v>
      </c>
      <c r="B10" s="202"/>
      <c r="C10" s="202"/>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row>
    <row r="11" spans="1:31" x14ac:dyDescent="0.25">
      <c r="A11" s="127" t="s">
        <v>789</v>
      </c>
      <c r="B11"/>
      <c r="C11"/>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row>
    <row r="12" spans="1:31" s="84" customFormat="1" x14ac:dyDescent="0.25">
      <c r="A12" s="391" t="s">
        <v>790</v>
      </c>
      <c r="B12" s="392"/>
      <c r="C12" s="392"/>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row>
    <row r="13" spans="1:31" x14ac:dyDescent="0.25">
      <c r="A13" s="26" t="s">
        <v>219</v>
      </c>
      <c r="B13" s="588">
        <f>185555026135.4+13514.6499938964</f>
        <v>185555039650.04999</v>
      </c>
      <c r="C13" s="438">
        <v>143708305351.60699</v>
      </c>
      <c r="D13" s="26"/>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row>
    <row r="14" spans="1:31" x14ac:dyDescent="0.25">
      <c r="A14" t="s">
        <v>220</v>
      </c>
      <c r="B14" s="438">
        <f>68156086152.8</f>
        <v>68156086152.800003</v>
      </c>
      <c r="C14" s="438">
        <v>64375762323.037102</v>
      </c>
      <c r="D14" s="587"/>
      <c r="E14" s="26"/>
      <c r="F14" s="587"/>
      <c r="G14" s="26"/>
      <c r="H14" s="26"/>
      <c r="I14" s="26"/>
      <c r="J14" s="26"/>
      <c r="K14" s="26"/>
      <c r="L14" s="26"/>
      <c r="M14" s="26"/>
      <c r="N14" s="26"/>
      <c r="O14" s="26"/>
      <c r="P14" s="26"/>
      <c r="Q14" s="26"/>
      <c r="R14" s="26"/>
      <c r="S14" s="26"/>
      <c r="T14" s="26"/>
      <c r="U14" s="26"/>
      <c r="V14" s="26"/>
      <c r="W14" s="26"/>
      <c r="X14" s="26"/>
      <c r="Y14" s="26"/>
      <c r="Z14" s="26"/>
      <c r="AA14" s="26"/>
      <c r="AB14" s="26"/>
      <c r="AC14" s="26"/>
      <c r="AD14" s="26"/>
      <c r="AE14"/>
    </row>
    <row r="15" spans="1:31" s="84" customFormat="1" x14ac:dyDescent="0.25">
      <c r="A15" s="391" t="s">
        <v>791</v>
      </c>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27"/>
    </row>
    <row r="16" spans="1:31" x14ac:dyDescent="0.25">
      <c r="A16" s="26" t="s">
        <v>219</v>
      </c>
      <c r="B16">
        <v>0</v>
      </c>
      <c r="C16">
        <v>0</v>
      </c>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row>
    <row r="17" spans="1:31" x14ac:dyDescent="0.25">
      <c r="A17" t="s">
        <v>220</v>
      </c>
      <c r="B17" s="544">
        <v>25101667385.200001</v>
      </c>
      <c r="C17" s="544">
        <v>16858925155.950001</v>
      </c>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row>
    <row r="18" spans="1:31" x14ac:dyDescent="0.25">
      <c r="A18" s="127" t="s">
        <v>1219</v>
      </c>
      <c r="B18"/>
      <c r="C18"/>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row>
    <row r="19" spans="1:31" hidden="1" x14ac:dyDescent="0.25">
      <c r="A19" s="268" t="s">
        <v>790</v>
      </c>
      <c r="B19" s="26"/>
      <c r="C19" s="26"/>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row>
    <row r="20" spans="1:31" hidden="1" x14ac:dyDescent="0.25">
      <c r="A20" s="26" t="s">
        <v>219</v>
      </c>
      <c r="B20" s="26"/>
      <c r="C20" s="26"/>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row>
    <row r="21" spans="1:31" hidden="1" x14ac:dyDescent="0.25">
      <c r="A21" t="s">
        <v>220</v>
      </c>
      <c r="B21" s="26"/>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row>
    <row r="22" spans="1:31" hidden="1" x14ac:dyDescent="0.25">
      <c r="A22" s="268" t="s">
        <v>791</v>
      </c>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row>
    <row r="23" spans="1:31" hidden="1" x14ac:dyDescent="0.25">
      <c r="A23" s="26" t="s">
        <v>219</v>
      </c>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row>
    <row r="24" spans="1:31" hidden="1" x14ac:dyDescent="0.25">
      <c r="A24" t="s">
        <v>220</v>
      </c>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row>
    <row r="25" spans="1:31" x14ac:dyDescent="0.25">
      <c r="A25" s="269" t="s">
        <v>1220</v>
      </c>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row>
    <row r="26" spans="1:31" x14ac:dyDescent="0.25">
      <c r="A26" s="127" t="s">
        <v>2</v>
      </c>
      <c r="B26" s="393">
        <f>SUM($B$11:B24)</f>
        <v>278812793188.04999</v>
      </c>
      <c r="C26" s="393">
        <f>SUM($C$11:C23)</f>
        <v>224942992830.59412</v>
      </c>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row>
    <row r="27" spans="1:31" x14ac:dyDescent="0.25">
      <c r="A27" s="26"/>
      <c r="B27" s="473"/>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row>
    <row r="28" spans="1:31" x14ac:dyDescent="0.25">
      <c r="B28" s="464"/>
      <c r="C28" s="353"/>
    </row>
    <row r="29" spans="1:31" x14ac:dyDescent="0.25">
      <c r="B29" s="464"/>
      <c r="C29" s="353"/>
    </row>
    <row r="30" spans="1:31" x14ac:dyDescent="0.25">
      <c r="B30" s="353"/>
      <c r="C30" s="353"/>
    </row>
    <row r="31" spans="1:31" x14ac:dyDescent="0.25">
      <c r="B31" s="365"/>
      <c r="C31" s="365"/>
    </row>
  </sheetData>
  <mergeCells count="1">
    <mergeCell ref="B8:C8"/>
  </mergeCells>
  <hyperlinks>
    <hyperlink ref="B1" location="ER!A1" display="ER" xr:uid="{00000000-0004-0000-1D00-000000000000}"/>
  </hyperlink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Hoja31">
    <tabColor rgb="FFFFFF00"/>
    <pageSetUpPr fitToPage="1"/>
  </sheetPr>
  <dimension ref="A1:AA25"/>
  <sheetViews>
    <sheetView showGridLines="0" zoomScaleNormal="100" zoomScaleSheetLayoutView="100" workbookViewId="0">
      <selection activeCell="A5" sqref="A5:C21"/>
    </sheetView>
  </sheetViews>
  <sheetFormatPr baseColWidth="10" defaultRowHeight="15" x14ac:dyDescent="0.25"/>
  <cols>
    <col min="1" max="1" width="33" style="103" bestFit="1" customWidth="1"/>
    <col min="2" max="2" width="18.28515625" style="103" bestFit="1" customWidth="1"/>
    <col min="3" max="3" width="17.140625" style="103" customWidth="1"/>
    <col min="4" max="27" width="11.5703125" style="103" customWidth="1"/>
  </cols>
  <sheetData>
    <row r="1" spans="1:27" x14ac:dyDescent="0.25">
      <c r="A1" s="103" t="str">
        <f>Indice!C1</f>
        <v>SALLUSTRO Y CIA. S.A.</v>
      </c>
      <c r="C1" s="122" t="s">
        <v>128</v>
      </c>
    </row>
    <row r="5" spans="1:27" x14ac:dyDescent="0.25">
      <c r="A5" s="637" t="s">
        <v>287</v>
      </c>
      <c r="B5" s="637"/>
      <c r="C5" s="637"/>
      <c r="D5" s="26"/>
      <c r="E5" s="26"/>
      <c r="F5" s="26"/>
      <c r="G5" s="26"/>
      <c r="H5" s="26"/>
      <c r="I5" s="26"/>
      <c r="J5" s="26"/>
      <c r="K5" s="26"/>
      <c r="L5" s="26"/>
      <c r="M5" s="26"/>
      <c r="N5" s="26"/>
      <c r="O5" s="26"/>
      <c r="P5" s="26"/>
      <c r="Q5" s="26"/>
      <c r="R5" s="26"/>
      <c r="S5" s="26"/>
      <c r="T5" s="26"/>
      <c r="U5" s="26"/>
      <c r="V5" s="26"/>
      <c r="W5" s="26"/>
      <c r="X5" s="26"/>
      <c r="Y5" s="26"/>
      <c r="Z5" s="26"/>
      <c r="AA5" s="26"/>
    </row>
    <row r="7" spans="1:27" x14ac:dyDescent="0.25">
      <c r="B7" s="664"/>
      <c r="C7" s="664"/>
    </row>
    <row r="8" spans="1:27" x14ac:dyDescent="0.25">
      <c r="B8" s="665" t="s">
        <v>215</v>
      </c>
      <c r="C8" s="665"/>
    </row>
    <row r="9" spans="1:27" x14ac:dyDescent="0.25">
      <c r="A9" s="127" t="s">
        <v>136</v>
      </c>
      <c r="B9" s="306">
        <f>IFERROR(IF(Indice!B6="","2XX2",YEAR(Indice!B6)),"2XX2")</f>
        <v>2024</v>
      </c>
      <c r="C9" s="306">
        <f>+IFERROR(YEAR(Indice!B6-366),"2XX1")</f>
        <v>2023</v>
      </c>
      <c r="D9" s="26"/>
      <c r="E9" s="26"/>
      <c r="F9" s="26"/>
      <c r="G9" s="26"/>
      <c r="H9" s="26"/>
      <c r="I9" s="26"/>
      <c r="J9" s="26"/>
      <c r="K9" s="26"/>
      <c r="L9" s="26"/>
      <c r="M9" s="26"/>
      <c r="N9" s="26"/>
      <c r="O9" s="26"/>
      <c r="P9" s="26"/>
      <c r="Q9" s="26"/>
      <c r="R9" s="26"/>
      <c r="S9" s="26"/>
      <c r="T9" s="26"/>
      <c r="U9" s="26"/>
      <c r="V9" s="26"/>
      <c r="W9" s="26"/>
      <c r="X9" s="26"/>
      <c r="Y9" s="26"/>
      <c r="Z9" s="26"/>
      <c r="AA9" s="26"/>
    </row>
    <row r="10" spans="1:27" x14ac:dyDescent="0.25">
      <c r="A10" s="127" t="s">
        <v>793</v>
      </c>
      <c r="B10" s="362"/>
      <c r="C10" s="362"/>
      <c r="D10" s="26"/>
      <c r="E10" s="26"/>
      <c r="F10" s="26"/>
      <c r="G10" s="26"/>
      <c r="H10" s="26"/>
      <c r="I10" s="26"/>
      <c r="J10" s="26"/>
      <c r="K10" s="26"/>
      <c r="L10" s="26"/>
      <c r="M10" s="26"/>
      <c r="N10" s="26"/>
      <c r="O10" s="26"/>
      <c r="P10" s="26"/>
      <c r="Q10" s="26"/>
      <c r="R10" s="26"/>
      <c r="S10" s="26"/>
      <c r="T10" s="26"/>
      <c r="U10" s="26"/>
      <c r="V10" s="26"/>
      <c r="W10" s="26"/>
      <c r="X10" s="26"/>
      <c r="Y10" s="26"/>
      <c r="Z10" s="26"/>
      <c r="AA10" s="26"/>
    </row>
    <row r="11" spans="1:27" x14ac:dyDescent="0.25">
      <c r="A11" s="26" t="s">
        <v>221</v>
      </c>
      <c r="B11" s="361">
        <f>+C14*-1</f>
        <v>76073350487.960007</v>
      </c>
      <c r="C11" s="361">
        <v>55182037647.050003</v>
      </c>
      <c r="D11" s="26"/>
      <c r="E11" s="26"/>
      <c r="F11" s="26"/>
      <c r="G11" s="26"/>
      <c r="H11" s="26"/>
      <c r="I11" s="26"/>
      <c r="J11" s="26"/>
      <c r="K11" s="26"/>
      <c r="L11" s="26"/>
      <c r="M11" s="26"/>
      <c r="N11" s="26"/>
      <c r="O11" s="26"/>
      <c r="P11" s="26"/>
      <c r="Q11" s="26"/>
      <c r="R11" s="26"/>
      <c r="S11" s="26"/>
      <c r="T11" s="26"/>
      <c r="U11" s="26"/>
      <c r="V11" s="26"/>
      <c r="W11" s="26"/>
      <c r="X11" s="26"/>
      <c r="Y11" s="26"/>
      <c r="Z11" s="26"/>
      <c r="AA11" s="26"/>
    </row>
    <row r="12" spans="1:27" x14ac:dyDescent="0.25">
      <c r="A12" s="184" t="s">
        <v>222</v>
      </c>
      <c r="B12" s="361">
        <f>+B21-B11-B14</f>
        <v>191874279347.79999</v>
      </c>
      <c r="C12" s="361">
        <v>155338972696.70001</v>
      </c>
      <c r="D12" s="26"/>
      <c r="E12" s="26"/>
      <c r="F12" s="26"/>
      <c r="G12" s="26"/>
      <c r="H12" s="26"/>
      <c r="I12" s="26"/>
      <c r="J12" s="26"/>
      <c r="K12" s="26"/>
      <c r="L12" s="26"/>
      <c r="M12" s="26"/>
      <c r="N12" s="26"/>
      <c r="O12" s="26"/>
      <c r="P12" s="26"/>
      <c r="Q12" s="26"/>
      <c r="R12" s="26"/>
      <c r="S12" s="26"/>
      <c r="T12" s="26"/>
      <c r="U12" s="26"/>
      <c r="V12" s="26"/>
      <c r="W12" s="26"/>
      <c r="X12" s="26"/>
      <c r="Y12" s="26"/>
      <c r="Z12" s="26"/>
      <c r="AA12" s="26"/>
    </row>
    <row r="13" spans="1:27" x14ac:dyDescent="0.25">
      <c r="A13" s="184" t="s">
        <v>223</v>
      </c>
      <c r="B13" s="361"/>
      <c r="C13" s="361"/>
      <c r="D13" s="26"/>
      <c r="E13" s="26"/>
      <c r="F13" s="26"/>
      <c r="G13" s="26"/>
      <c r="H13" s="26"/>
      <c r="I13" s="26"/>
      <c r="J13" s="26"/>
      <c r="K13" s="26"/>
      <c r="L13" s="26"/>
      <c r="M13" s="26"/>
      <c r="N13" s="26"/>
      <c r="O13" s="26"/>
      <c r="P13" s="26"/>
      <c r="Q13" s="26"/>
      <c r="R13" s="26"/>
      <c r="S13" s="26"/>
      <c r="T13" s="26"/>
      <c r="U13" s="26"/>
      <c r="V13" s="26"/>
      <c r="W13" s="26"/>
      <c r="X13" s="26"/>
      <c r="Y13" s="26"/>
      <c r="Z13" s="26"/>
      <c r="AA13" s="26"/>
    </row>
    <row r="14" spans="1:27" x14ac:dyDescent="0.25">
      <c r="A14" s="184" t="s">
        <v>224</v>
      </c>
      <c r="B14" s="512">
        <f>+'Nota 7'!B9*-1</f>
        <v>-89906766309</v>
      </c>
      <c r="C14" s="512">
        <v>-76073350487.960007</v>
      </c>
      <c r="D14" s="26"/>
      <c r="E14" s="26"/>
      <c r="F14" s="26"/>
      <c r="G14" s="26"/>
      <c r="H14" s="26"/>
      <c r="I14" s="26"/>
      <c r="J14" s="26"/>
      <c r="K14" s="26"/>
      <c r="L14" s="26"/>
      <c r="M14" s="26"/>
      <c r="N14" s="26"/>
      <c r="O14" s="26"/>
      <c r="P14" s="26"/>
      <c r="Q14" s="26"/>
      <c r="R14" s="26"/>
      <c r="S14" s="26"/>
      <c r="T14" s="26"/>
      <c r="U14" s="26"/>
      <c r="V14" s="26"/>
      <c r="W14" s="26"/>
      <c r="X14" s="26"/>
      <c r="Y14" s="26"/>
      <c r="Z14" s="26"/>
      <c r="AA14" s="26"/>
    </row>
    <row r="15" spans="1:27" hidden="1" x14ac:dyDescent="0.25">
      <c r="A15" s="127" t="s">
        <v>794</v>
      </c>
      <c r="B15" s="361"/>
      <c r="C15" s="361"/>
      <c r="D15" s="26"/>
      <c r="E15" s="26"/>
      <c r="F15" s="26"/>
      <c r="G15" s="26"/>
      <c r="H15" s="26"/>
      <c r="I15" s="26"/>
      <c r="J15" s="26"/>
      <c r="K15" s="26"/>
      <c r="L15" s="26"/>
      <c r="M15" s="26"/>
      <c r="N15" s="26"/>
      <c r="O15" s="26"/>
      <c r="P15" s="26"/>
      <c r="Q15" s="26"/>
      <c r="R15" s="26"/>
      <c r="S15" s="26"/>
      <c r="T15" s="26"/>
      <c r="U15" s="26"/>
      <c r="V15" s="26"/>
      <c r="W15" s="26"/>
      <c r="X15" s="26"/>
      <c r="Y15" s="26"/>
      <c r="Z15" s="26"/>
      <c r="AA15" s="26"/>
    </row>
    <row r="16" spans="1:27" hidden="1" x14ac:dyDescent="0.25">
      <c r="A16" s="26" t="s">
        <v>221</v>
      </c>
      <c r="B16" s="361"/>
      <c r="C16" s="361"/>
      <c r="D16" s="26"/>
      <c r="E16" s="26"/>
      <c r="F16" s="26"/>
      <c r="G16" s="26"/>
      <c r="H16" s="26"/>
      <c r="I16" s="26"/>
      <c r="J16" s="26"/>
      <c r="K16" s="26"/>
      <c r="L16" s="26"/>
      <c r="M16" s="26"/>
      <c r="N16" s="26"/>
      <c r="O16" s="26"/>
      <c r="P16" s="26"/>
      <c r="Q16" s="26"/>
      <c r="R16" s="26"/>
      <c r="S16" s="26"/>
      <c r="T16" s="26"/>
      <c r="U16" s="26"/>
      <c r="V16" s="26"/>
      <c r="W16" s="26"/>
      <c r="X16" s="26"/>
      <c r="Y16" s="26"/>
      <c r="Z16" s="26"/>
      <c r="AA16" s="26"/>
    </row>
    <row r="17" spans="1:27" hidden="1" x14ac:dyDescent="0.25">
      <c r="A17" s="184" t="s">
        <v>222</v>
      </c>
      <c r="B17" s="361"/>
      <c r="C17" s="361"/>
      <c r="D17" s="26"/>
      <c r="E17" s="26"/>
      <c r="F17" s="26"/>
      <c r="G17" s="26"/>
      <c r="H17" s="26"/>
      <c r="I17" s="26"/>
      <c r="J17" s="26"/>
      <c r="K17" s="26"/>
      <c r="L17" s="26"/>
      <c r="M17" s="26"/>
      <c r="N17" s="26"/>
      <c r="O17" s="26"/>
      <c r="P17" s="26"/>
      <c r="Q17" s="26"/>
      <c r="R17" s="26"/>
      <c r="S17" s="26"/>
      <c r="T17" s="26"/>
      <c r="U17" s="26"/>
      <c r="V17" s="26"/>
      <c r="W17" s="26"/>
      <c r="X17" s="26"/>
      <c r="Y17" s="26"/>
      <c r="Z17" s="26"/>
      <c r="AA17" s="26"/>
    </row>
    <row r="18" spans="1:27" hidden="1" x14ac:dyDescent="0.25">
      <c r="A18" s="184" t="s">
        <v>223</v>
      </c>
      <c r="B18" s="361"/>
      <c r="C18" s="361"/>
      <c r="D18" s="26"/>
      <c r="E18" s="26"/>
      <c r="F18" s="26"/>
      <c r="G18" s="26"/>
      <c r="H18" s="26"/>
      <c r="I18" s="26"/>
      <c r="J18" s="26"/>
      <c r="K18" s="26"/>
      <c r="L18" s="26"/>
      <c r="M18" s="26"/>
      <c r="N18" s="26"/>
      <c r="O18" s="26"/>
      <c r="P18" s="26"/>
      <c r="Q18" s="26"/>
      <c r="R18" s="26"/>
      <c r="S18" s="26"/>
      <c r="T18" s="26"/>
      <c r="U18" s="26"/>
      <c r="V18" s="26"/>
      <c r="W18" s="26"/>
      <c r="X18" s="26"/>
      <c r="Y18" s="26"/>
      <c r="Z18" s="26"/>
      <c r="AA18" s="26"/>
    </row>
    <row r="19" spans="1:27" hidden="1" x14ac:dyDescent="0.25">
      <c r="A19" s="184" t="s">
        <v>224</v>
      </c>
      <c r="B19" s="361"/>
      <c r="C19" s="361"/>
      <c r="D19" s="26"/>
      <c r="E19" s="26"/>
      <c r="F19" s="26"/>
      <c r="G19" s="26"/>
      <c r="H19" s="26"/>
      <c r="I19" s="26"/>
      <c r="J19" s="26"/>
      <c r="K19" s="26"/>
      <c r="L19" s="26"/>
      <c r="M19" s="26"/>
      <c r="N19" s="26"/>
      <c r="O19" s="26"/>
      <c r="P19" s="26"/>
      <c r="Q19" s="26"/>
      <c r="R19" s="26"/>
      <c r="S19" s="26"/>
      <c r="T19" s="26"/>
      <c r="U19" s="26"/>
      <c r="V19" s="26"/>
      <c r="W19" s="26"/>
      <c r="X19" s="26"/>
      <c r="Y19" s="26"/>
      <c r="Z19" s="26"/>
      <c r="AA19" s="26"/>
    </row>
    <row r="20" spans="1:27" hidden="1" x14ac:dyDescent="0.25">
      <c r="A20" s="269" t="s">
        <v>792</v>
      </c>
      <c r="B20" s="361"/>
      <c r="C20" s="361"/>
      <c r="D20" s="26"/>
      <c r="E20" s="26"/>
      <c r="F20" s="26"/>
      <c r="G20" s="26"/>
      <c r="H20" s="26"/>
      <c r="I20" s="26"/>
      <c r="J20" s="26"/>
      <c r="K20" s="26"/>
      <c r="L20" s="26"/>
      <c r="M20" s="26"/>
      <c r="N20" s="26"/>
      <c r="O20" s="26"/>
      <c r="P20" s="26"/>
      <c r="Q20" s="26"/>
      <c r="R20" s="26"/>
      <c r="S20" s="26"/>
      <c r="T20" s="26"/>
      <c r="U20" s="26"/>
      <c r="V20" s="26"/>
      <c r="W20" s="26"/>
      <c r="X20" s="26"/>
      <c r="Y20" s="26"/>
      <c r="Z20" s="26"/>
      <c r="AA20" s="26"/>
    </row>
    <row r="21" spans="1:27" x14ac:dyDescent="0.25">
      <c r="A21" s="26" t="s">
        <v>225</v>
      </c>
      <c r="B21" s="393">
        <v>178040863526.76001</v>
      </c>
      <c r="C21" s="393">
        <f>SUM(C11:C20)</f>
        <v>134447659855.78999</v>
      </c>
      <c r="D21" s="26"/>
      <c r="E21" s="26"/>
      <c r="F21" s="26"/>
      <c r="G21" s="26"/>
      <c r="H21" s="26"/>
      <c r="I21" s="26"/>
      <c r="J21" s="26"/>
      <c r="K21" s="26"/>
      <c r="L21" s="26"/>
      <c r="M21" s="26"/>
      <c r="N21" s="26"/>
      <c r="O21" s="26"/>
      <c r="P21" s="26"/>
      <c r="Q21" s="26"/>
      <c r="R21" s="26"/>
      <c r="S21" s="26"/>
      <c r="T21" s="26"/>
      <c r="U21" s="26"/>
      <c r="V21" s="26"/>
      <c r="W21" s="26"/>
      <c r="X21" s="26"/>
      <c r="Y21" s="26"/>
      <c r="Z21" s="26"/>
      <c r="AA21" s="26"/>
    </row>
    <row r="22" spans="1:27" x14ac:dyDescent="0.25">
      <c r="A22" s="26"/>
      <c r="B22" s="513">
        <f>SUM(B11:B14)-B21</f>
        <v>0</v>
      </c>
      <c r="C22" s="26"/>
      <c r="D22" s="26"/>
      <c r="E22" s="26"/>
      <c r="F22" s="26"/>
      <c r="G22" s="26"/>
      <c r="H22" s="26"/>
      <c r="I22" s="26"/>
      <c r="J22" s="26"/>
      <c r="K22" s="26"/>
      <c r="L22" s="26"/>
      <c r="M22" s="26"/>
      <c r="N22" s="26"/>
      <c r="O22" s="26"/>
      <c r="P22" s="26"/>
      <c r="Q22" s="26"/>
      <c r="R22" s="26"/>
      <c r="S22" s="26"/>
      <c r="T22" s="26"/>
      <c r="U22" s="26"/>
      <c r="V22" s="26"/>
      <c r="W22" s="26"/>
      <c r="X22" s="26"/>
      <c r="Y22" s="26"/>
      <c r="Z22" s="26"/>
      <c r="AA22" s="26"/>
    </row>
    <row r="23" spans="1:27" x14ac:dyDescent="0.25">
      <c r="B23" s="514"/>
    </row>
    <row r="24" spans="1:27" x14ac:dyDescent="0.25">
      <c r="B24" s="515"/>
    </row>
    <row r="25" spans="1:27" x14ac:dyDescent="0.25">
      <c r="B25" s="365"/>
    </row>
  </sheetData>
  <mergeCells count="3">
    <mergeCell ref="A5:C5"/>
    <mergeCell ref="B7:C7"/>
    <mergeCell ref="B8:C8"/>
  </mergeCells>
  <hyperlinks>
    <hyperlink ref="C1" location="ER!A1" display="ER" xr:uid="{00000000-0004-0000-1E00-000000000000}"/>
  </hyperlink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Hoja32">
    <tabColor rgb="FFFFFF00"/>
    <pageSetUpPr fitToPage="1"/>
  </sheetPr>
  <dimension ref="A1:AF63"/>
  <sheetViews>
    <sheetView showGridLines="0" topLeftCell="A43" zoomScaleNormal="100" zoomScaleSheetLayoutView="70" workbookViewId="0">
      <selection activeCell="C46" sqref="C46"/>
    </sheetView>
  </sheetViews>
  <sheetFormatPr baseColWidth="10" defaultRowHeight="15" x14ac:dyDescent="0.25"/>
  <cols>
    <col min="1" max="1" width="48.5703125" style="103" bestFit="1" customWidth="1"/>
    <col min="2" max="2" width="16.7109375" style="464" bestFit="1" customWidth="1"/>
    <col min="3" max="3" width="15.85546875" style="103" customWidth="1"/>
    <col min="4" max="4" width="14.140625" style="510" bestFit="1" customWidth="1"/>
    <col min="5" max="5" width="16.7109375" style="510" customWidth="1"/>
    <col min="6" max="6" width="14.140625" style="510" customWidth="1"/>
    <col min="7" max="7" width="14.140625" style="510" bestFit="1" customWidth="1"/>
    <col min="8" max="32" width="11.5703125" style="103" customWidth="1"/>
  </cols>
  <sheetData>
    <row r="1" spans="1:32" x14ac:dyDescent="0.25">
      <c r="A1" s="103" t="str">
        <f>Indice!C1</f>
        <v>SALLUSTRO Y CIA. S.A.</v>
      </c>
      <c r="G1" s="516" t="s">
        <v>128</v>
      </c>
    </row>
    <row r="3" spans="1:32" x14ac:dyDescent="0.25">
      <c r="A3" s="239" t="s">
        <v>288</v>
      </c>
      <c r="B3" s="465"/>
      <c r="C3" s="239"/>
      <c r="D3" s="517"/>
      <c r="E3" s="517"/>
      <c r="F3" s="517"/>
      <c r="G3" s="517"/>
      <c r="H3" s="26"/>
      <c r="I3" s="26"/>
      <c r="J3" s="26"/>
      <c r="K3" s="26"/>
      <c r="L3" s="26"/>
      <c r="M3" s="26"/>
      <c r="N3" s="26"/>
      <c r="O3" s="26"/>
      <c r="P3" s="26"/>
      <c r="Q3" s="26"/>
      <c r="R3" s="26"/>
      <c r="S3" s="26"/>
      <c r="T3" s="26"/>
      <c r="U3" s="26"/>
      <c r="V3" s="26"/>
      <c r="W3" s="26"/>
      <c r="X3" s="26"/>
      <c r="Y3" s="26"/>
      <c r="Z3" s="26"/>
      <c r="AA3" s="26"/>
      <c r="AB3" s="26"/>
      <c r="AC3" s="26"/>
      <c r="AD3" s="26"/>
      <c r="AE3" s="26"/>
      <c r="AF3" s="26"/>
    </row>
    <row r="4" spans="1:32" ht="39" hidden="1" customHeight="1" x14ac:dyDescent="0.25">
      <c r="A4" s="666" t="s">
        <v>170</v>
      </c>
      <c r="B4" s="666"/>
      <c r="C4" s="666"/>
      <c r="D4" s="666"/>
      <c r="E4" s="666"/>
      <c r="F4" s="666"/>
      <c r="G4" s="666"/>
    </row>
    <row r="5" spans="1:32" s="150" customFormat="1" x14ac:dyDescent="0.25">
      <c r="A5" s="149" t="s">
        <v>171</v>
      </c>
      <c r="B5" s="466"/>
      <c r="C5" s="149"/>
      <c r="D5" s="518"/>
      <c r="E5" s="518"/>
      <c r="F5" s="518"/>
      <c r="G5" s="518"/>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row>
    <row r="6" spans="1:32" s="150" customFormat="1" ht="15.75" thickBot="1" x14ac:dyDescent="0.3">
      <c r="A6" s="275" t="s">
        <v>215</v>
      </c>
      <c r="B6" s="467"/>
      <c r="D6" s="519"/>
      <c r="E6" s="519"/>
      <c r="F6" s="520"/>
      <c r="G6" s="518"/>
      <c r="H6" s="149"/>
      <c r="I6" s="149"/>
      <c r="J6" s="149"/>
      <c r="K6" s="149"/>
      <c r="L6" s="149"/>
      <c r="M6" s="149"/>
      <c r="N6" s="149"/>
      <c r="O6" s="149"/>
      <c r="P6" s="149"/>
      <c r="Q6" s="149"/>
      <c r="R6" s="149"/>
      <c r="S6" s="149"/>
      <c r="T6" s="149"/>
      <c r="U6" s="149"/>
      <c r="V6" s="149"/>
      <c r="W6" s="149"/>
      <c r="X6" s="149"/>
      <c r="Y6" s="149"/>
      <c r="Z6" s="149"/>
      <c r="AA6" s="149"/>
      <c r="AB6" s="149"/>
      <c r="AC6" s="149"/>
      <c r="AD6" s="149"/>
      <c r="AE6" s="149"/>
      <c r="AF6" s="149"/>
    </row>
    <row r="7" spans="1:32" s="150" customFormat="1" ht="15.75" thickBot="1" x14ac:dyDescent="0.3">
      <c r="A7" s="667"/>
      <c r="B7" s="468"/>
      <c r="C7" s="325">
        <f>IFERROR(IF(Indice!B6="","2XX2",YEAR(Indice!B6)),"2XX2")</f>
        <v>2024</v>
      </c>
      <c r="D7" s="521"/>
      <c r="E7" s="522"/>
      <c r="F7" s="523">
        <f>+IFERROR(YEAR(Indice!B6-366),"2XX1")</f>
        <v>2023</v>
      </c>
      <c r="G7" s="524"/>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row>
    <row r="8" spans="1:32" s="150" customFormat="1" ht="38.450000000000003" customHeight="1" thickBot="1" x14ac:dyDescent="0.3">
      <c r="A8" s="668"/>
      <c r="B8" s="469" t="s">
        <v>172</v>
      </c>
      <c r="C8" s="324" t="s">
        <v>173</v>
      </c>
      <c r="D8" s="525" t="s">
        <v>2</v>
      </c>
      <c r="E8" s="525" t="s">
        <v>172</v>
      </c>
      <c r="F8" s="525" t="s">
        <v>173</v>
      </c>
      <c r="G8" s="525" t="s">
        <v>2</v>
      </c>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row>
    <row r="9" spans="1:32" s="150" customFormat="1" x14ac:dyDescent="0.25">
      <c r="A9" s="276" t="s">
        <v>975</v>
      </c>
      <c r="B9" s="526">
        <f>1302007482.85+20776177</f>
        <v>1322783659.8499999</v>
      </c>
      <c r="C9" s="420"/>
      <c r="D9" s="526">
        <f>+C9+B9</f>
        <v>1322783659.8499999</v>
      </c>
      <c r="E9" s="526">
        <f>1055900062+42007732</f>
        <v>1097907794</v>
      </c>
      <c r="F9" s="579"/>
      <c r="G9" s="526">
        <f>+F9+E9</f>
        <v>1097907794</v>
      </c>
      <c r="H9" s="581"/>
      <c r="I9" s="149"/>
      <c r="J9" s="149"/>
      <c r="K9" s="149"/>
      <c r="L9" s="149"/>
      <c r="M9" s="149"/>
      <c r="N9" s="149"/>
      <c r="O9" s="149"/>
      <c r="P9" s="149"/>
      <c r="Q9" s="149"/>
      <c r="R9" s="149"/>
      <c r="S9" s="149"/>
      <c r="T9" s="149"/>
      <c r="U9" s="149"/>
      <c r="V9" s="149"/>
      <c r="W9" s="149"/>
      <c r="X9" s="149"/>
      <c r="Y9" s="149"/>
      <c r="Z9" s="149"/>
      <c r="AA9" s="149"/>
      <c r="AB9" s="149"/>
      <c r="AC9" s="149"/>
      <c r="AD9" s="149"/>
      <c r="AE9" s="149"/>
      <c r="AF9" s="149"/>
    </row>
    <row r="10" spans="1:32" s="150" customFormat="1" x14ac:dyDescent="0.25">
      <c r="A10" s="276" t="s">
        <v>976</v>
      </c>
      <c r="B10" s="526">
        <v>16824963482.9</v>
      </c>
      <c r="C10" s="420"/>
      <c r="D10" s="526">
        <f>+C10+B10</f>
        <v>16824963482.9</v>
      </c>
      <c r="E10" s="526">
        <v>13990716627.25</v>
      </c>
      <c r="F10" s="579"/>
      <c r="G10" s="526">
        <f>+F10+E10</f>
        <v>13990716627.25</v>
      </c>
      <c r="H10" s="581"/>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row>
    <row r="11" spans="1:32" s="150" customFormat="1" x14ac:dyDescent="0.25">
      <c r="A11" s="276" t="s">
        <v>977</v>
      </c>
      <c r="B11" s="526">
        <v>5462401905.8599997</v>
      </c>
      <c r="C11" s="420"/>
      <c r="D11" s="526">
        <f t="shared" ref="D11:D52" si="0">+C11+B11</f>
        <v>5462401905.8599997</v>
      </c>
      <c r="E11" s="526">
        <v>4441343370.3100004</v>
      </c>
      <c r="F11" s="579"/>
      <c r="G11" s="526">
        <f t="shared" ref="G11:G28" si="1">+F11+E11</f>
        <v>4441343370.3100004</v>
      </c>
      <c r="H11" s="581"/>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row>
    <row r="12" spans="1:32" s="150" customFormat="1" x14ac:dyDescent="0.25">
      <c r="A12" s="276" t="s">
        <v>978</v>
      </c>
      <c r="B12" s="526">
        <v>5991836968.5200005</v>
      </c>
      <c r="C12" s="420"/>
      <c r="D12" s="526">
        <f t="shared" si="0"/>
        <v>5991836968.5200005</v>
      </c>
      <c r="E12" s="526">
        <v>4186869771.5100002</v>
      </c>
      <c r="F12" s="579"/>
      <c r="G12" s="526">
        <f t="shared" si="1"/>
        <v>4186869771.5100002</v>
      </c>
      <c r="H12" s="581"/>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row>
    <row r="13" spans="1:32" s="150" customFormat="1" x14ac:dyDescent="0.25">
      <c r="A13" s="276" t="s">
        <v>979</v>
      </c>
      <c r="B13" s="589">
        <v>609426695.14999998</v>
      </c>
      <c r="C13" s="420"/>
      <c r="D13" s="526">
        <f t="shared" si="0"/>
        <v>609426695.14999998</v>
      </c>
      <c r="E13" s="526">
        <v>822098939.19000006</v>
      </c>
      <c r="F13" s="579"/>
      <c r="G13" s="526">
        <f t="shared" si="1"/>
        <v>822098939.19000006</v>
      </c>
      <c r="H13" s="581"/>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row>
    <row r="14" spans="1:32" s="150" customFormat="1" x14ac:dyDescent="0.25">
      <c r="A14" s="276" t="s">
        <v>980</v>
      </c>
      <c r="B14" s="589">
        <v>1188135302.6700001</v>
      </c>
      <c r="C14" s="420"/>
      <c r="D14" s="526">
        <f t="shared" si="0"/>
        <v>1188135302.6700001</v>
      </c>
      <c r="E14" s="526">
        <v>1410839801.4400001</v>
      </c>
      <c r="F14" s="579"/>
      <c r="G14" s="526">
        <f t="shared" si="1"/>
        <v>1410839801.4400001</v>
      </c>
      <c r="H14" s="581"/>
      <c r="I14" s="149"/>
      <c r="J14" s="149"/>
      <c r="K14" s="149"/>
      <c r="L14" s="149"/>
      <c r="M14" s="149"/>
      <c r="N14" s="149"/>
      <c r="O14" s="149"/>
      <c r="P14" s="149"/>
      <c r="Q14" s="149"/>
      <c r="R14" s="149"/>
      <c r="S14" s="149"/>
      <c r="T14" s="149"/>
      <c r="U14" s="149"/>
      <c r="V14" s="149"/>
      <c r="W14" s="149"/>
      <c r="X14" s="149"/>
      <c r="Y14" s="149"/>
      <c r="Z14" s="149"/>
      <c r="AA14" s="149"/>
      <c r="AB14" s="149"/>
      <c r="AC14" s="149"/>
      <c r="AD14" s="149"/>
      <c r="AE14" s="149"/>
      <c r="AF14" s="149"/>
    </row>
    <row r="15" spans="1:32" s="150" customFormat="1" x14ac:dyDescent="0.25">
      <c r="A15" s="276" t="s">
        <v>981</v>
      </c>
      <c r="B15" s="589">
        <v>0</v>
      </c>
      <c r="C15" s="420"/>
      <c r="D15" s="526">
        <f t="shared" si="0"/>
        <v>0</v>
      </c>
      <c r="E15" s="526">
        <v>304109905.81</v>
      </c>
      <c r="F15" s="579"/>
      <c r="G15" s="526">
        <f t="shared" si="1"/>
        <v>304109905.81</v>
      </c>
      <c r="H15" s="581"/>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row>
    <row r="16" spans="1:32" s="150" customFormat="1" x14ac:dyDescent="0.25">
      <c r="A16" s="276" t="s">
        <v>1194</v>
      </c>
      <c r="B16" s="589">
        <v>6784436.3600000003</v>
      </c>
      <c r="C16" s="420"/>
      <c r="D16" s="526">
        <f t="shared" si="0"/>
        <v>6784436.3600000003</v>
      </c>
      <c r="E16" s="526">
        <v>7071643.2599999998</v>
      </c>
      <c r="F16" s="579"/>
      <c r="G16" s="526">
        <f t="shared" si="1"/>
        <v>7071643.2599999998</v>
      </c>
      <c r="H16" s="581"/>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row>
    <row r="17" spans="1:32" s="150" customFormat="1" x14ac:dyDescent="0.25">
      <c r="A17" s="276" t="s">
        <v>982</v>
      </c>
      <c r="B17" s="589">
        <v>1915800782.5799999</v>
      </c>
      <c r="C17" s="420"/>
      <c r="D17" s="526">
        <f t="shared" si="0"/>
        <v>1915800782.5799999</v>
      </c>
      <c r="E17" s="526">
        <v>1559395348.6900001</v>
      </c>
      <c r="F17" s="579"/>
      <c r="G17" s="526">
        <f t="shared" si="1"/>
        <v>1559395348.6900001</v>
      </c>
      <c r="H17" s="581"/>
      <c r="I17" s="149"/>
      <c r="J17" s="149"/>
      <c r="K17" s="149"/>
      <c r="L17" s="149"/>
      <c r="M17" s="149"/>
      <c r="N17" s="149"/>
      <c r="O17" s="149"/>
      <c r="P17" s="149"/>
      <c r="Q17" s="149"/>
      <c r="R17" s="149"/>
      <c r="S17" s="149"/>
      <c r="T17" s="149"/>
      <c r="U17" s="149"/>
      <c r="V17" s="149"/>
      <c r="W17" s="149"/>
      <c r="X17" s="149"/>
      <c r="Y17" s="149"/>
      <c r="Z17" s="149"/>
      <c r="AA17" s="149"/>
      <c r="AB17" s="149"/>
      <c r="AC17" s="149"/>
      <c r="AD17" s="149"/>
      <c r="AE17" s="149"/>
      <c r="AF17" s="149"/>
    </row>
    <row r="18" spans="1:32" s="150" customFormat="1" x14ac:dyDescent="0.25">
      <c r="A18" s="276" t="s">
        <v>983</v>
      </c>
      <c r="B18" s="589">
        <v>7999999.9199999999</v>
      </c>
      <c r="C18" s="420"/>
      <c r="D18" s="526">
        <f t="shared" si="0"/>
        <v>7999999.9199999999</v>
      </c>
      <c r="E18" s="526">
        <v>6181818.1200000001</v>
      </c>
      <c r="F18" s="579"/>
      <c r="G18" s="526">
        <f t="shared" si="1"/>
        <v>6181818.1200000001</v>
      </c>
      <c r="H18" s="581"/>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row>
    <row r="19" spans="1:32" s="150" customFormat="1" x14ac:dyDescent="0.25">
      <c r="A19" s="276" t="s">
        <v>984</v>
      </c>
      <c r="B19" s="589">
        <v>530946051.72000003</v>
      </c>
      <c r="C19" s="420"/>
      <c r="D19" s="526">
        <f t="shared" si="0"/>
        <v>530946051.72000003</v>
      </c>
      <c r="E19" s="526">
        <v>444057076.08999997</v>
      </c>
      <c r="F19" s="579"/>
      <c r="G19" s="526">
        <f t="shared" si="1"/>
        <v>444057076.08999997</v>
      </c>
      <c r="H19" s="581"/>
      <c r="I19" s="149"/>
      <c r="J19" s="149"/>
      <c r="K19" s="149"/>
      <c r="L19" s="149"/>
      <c r="M19" s="149"/>
      <c r="N19" s="149"/>
      <c r="O19" s="149"/>
      <c r="P19" s="149"/>
      <c r="Q19" s="149"/>
      <c r="R19" s="149"/>
      <c r="S19" s="149"/>
      <c r="T19" s="149"/>
      <c r="U19" s="149"/>
      <c r="V19" s="149"/>
      <c r="W19" s="149"/>
      <c r="X19" s="149"/>
      <c r="Y19" s="149"/>
      <c r="Z19" s="149"/>
      <c r="AA19" s="149"/>
      <c r="AB19" s="149"/>
      <c r="AC19" s="149"/>
      <c r="AD19" s="149"/>
      <c r="AE19" s="149"/>
      <c r="AF19" s="149"/>
    </row>
    <row r="20" spans="1:32" s="150" customFormat="1" x14ac:dyDescent="0.25">
      <c r="A20" s="276" t="s">
        <v>985</v>
      </c>
      <c r="B20" s="589">
        <v>709450925.90999997</v>
      </c>
      <c r="C20" s="420"/>
      <c r="D20" s="526">
        <f t="shared" si="0"/>
        <v>709450925.90999997</v>
      </c>
      <c r="E20" s="526">
        <v>844615862.24000001</v>
      </c>
      <c r="F20" s="579"/>
      <c r="G20" s="526">
        <f t="shared" si="1"/>
        <v>844615862.24000001</v>
      </c>
      <c r="H20" s="581"/>
      <c r="I20" s="149"/>
      <c r="J20" s="149"/>
      <c r="K20" s="149"/>
      <c r="L20" s="149"/>
      <c r="M20" s="149"/>
      <c r="N20" s="149"/>
      <c r="O20" s="149"/>
      <c r="P20" s="149"/>
      <c r="Q20" s="149"/>
      <c r="R20" s="149"/>
      <c r="S20" s="149"/>
      <c r="T20" s="149"/>
      <c r="U20" s="149"/>
      <c r="V20" s="149"/>
      <c r="W20" s="149"/>
      <c r="X20" s="149"/>
      <c r="Y20" s="149"/>
      <c r="Z20" s="149"/>
      <c r="AA20" s="149"/>
      <c r="AB20" s="149"/>
      <c r="AC20" s="149"/>
      <c r="AD20" s="149"/>
      <c r="AE20" s="149"/>
      <c r="AF20" s="149"/>
    </row>
    <row r="21" spans="1:32" s="150" customFormat="1" x14ac:dyDescent="0.25">
      <c r="A21" s="276" t="s">
        <v>986</v>
      </c>
      <c r="B21" s="589">
        <v>110615763.27</v>
      </c>
      <c r="C21" s="420"/>
      <c r="D21" s="526">
        <f t="shared" si="0"/>
        <v>110615763.27</v>
      </c>
      <c r="E21" s="526">
        <v>107028893.43000001</v>
      </c>
      <c r="F21" s="579"/>
      <c r="G21" s="526">
        <f t="shared" si="1"/>
        <v>107028893.43000001</v>
      </c>
      <c r="H21" s="581"/>
      <c r="I21" s="149"/>
      <c r="J21" s="149"/>
      <c r="K21" s="149"/>
      <c r="L21" s="149"/>
      <c r="M21" s="149"/>
      <c r="N21" s="149"/>
      <c r="O21" s="149"/>
      <c r="P21" s="149"/>
      <c r="Q21" s="149"/>
      <c r="R21" s="149"/>
      <c r="S21" s="149"/>
      <c r="T21" s="149"/>
      <c r="U21" s="149"/>
      <c r="V21" s="149"/>
      <c r="W21" s="149"/>
      <c r="X21" s="149"/>
      <c r="Y21" s="149"/>
      <c r="Z21" s="149"/>
      <c r="AA21" s="149"/>
      <c r="AB21" s="149"/>
      <c r="AC21" s="149"/>
      <c r="AD21" s="149"/>
      <c r="AE21" s="149"/>
      <c r="AF21" s="149"/>
    </row>
    <row r="22" spans="1:32" s="150" customFormat="1" x14ac:dyDescent="0.25">
      <c r="A22" s="276" t="s">
        <v>987</v>
      </c>
      <c r="B22" s="589">
        <v>195225839.33000001</v>
      </c>
      <c r="C22" s="420"/>
      <c r="D22" s="526">
        <f t="shared" si="0"/>
        <v>195225839.33000001</v>
      </c>
      <c r="E22" s="526">
        <v>150618628.99000001</v>
      </c>
      <c r="F22" s="579"/>
      <c r="G22" s="526">
        <f t="shared" si="1"/>
        <v>150618628.99000001</v>
      </c>
      <c r="H22" s="581"/>
      <c r="I22" s="149"/>
      <c r="J22" s="149"/>
      <c r="K22" s="149"/>
      <c r="L22" s="149"/>
      <c r="M22" s="149"/>
      <c r="N22" s="149"/>
      <c r="O22" s="149"/>
      <c r="P22" s="149"/>
      <c r="Q22" s="149"/>
      <c r="R22" s="149"/>
      <c r="S22" s="149"/>
      <c r="T22" s="149"/>
      <c r="U22" s="149"/>
      <c r="V22" s="149"/>
      <c r="W22" s="149"/>
      <c r="X22" s="149"/>
      <c r="Y22" s="149"/>
      <c r="Z22" s="149"/>
      <c r="AA22" s="149"/>
      <c r="AB22" s="149"/>
      <c r="AC22" s="149"/>
      <c r="AD22" s="149"/>
      <c r="AE22" s="149"/>
      <c r="AF22" s="149"/>
    </row>
    <row r="23" spans="1:32" s="150" customFormat="1" x14ac:dyDescent="0.25">
      <c r="A23" s="276" t="s">
        <v>988</v>
      </c>
      <c r="B23" s="589">
        <v>636534262.36000001</v>
      </c>
      <c r="C23" s="420"/>
      <c r="D23" s="526">
        <f t="shared" si="0"/>
        <v>636534262.36000001</v>
      </c>
      <c r="E23" s="526">
        <v>996659974.61000001</v>
      </c>
      <c r="F23" s="579"/>
      <c r="G23" s="526">
        <f t="shared" si="1"/>
        <v>996659974.61000001</v>
      </c>
      <c r="H23" s="581"/>
      <c r="I23" s="149"/>
      <c r="J23" s="149"/>
      <c r="K23" s="149"/>
      <c r="L23" s="149"/>
      <c r="M23" s="149"/>
      <c r="N23" s="149"/>
      <c r="O23" s="149"/>
      <c r="P23" s="149"/>
      <c r="Q23" s="149"/>
      <c r="R23" s="149"/>
      <c r="S23" s="149"/>
      <c r="T23" s="149"/>
      <c r="U23" s="149"/>
      <c r="V23" s="149"/>
      <c r="W23" s="149"/>
      <c r="X23" s="149"/>
      <c r="Y23" s="149"/>
      <c r="Z23" s="149"/>
      <c r="AA23" s="149"/>
      <c r="AB23" s="149"/>
      <c r="AC23" s="149"/>
      <c r="AD23" s="149"/>
      <c r="AE23" s="149"/>
      <c r="AF23" s="149"/>
    </row>
    <row r="24" spans="1:32" s="150" customFormat="1" x14ac:dyDescent="0.25">
      <c r="A24" s="276" t="s">
        <v>1015</v>
      </c>
      <c r="B24" s="589">
        <v>106906003.64</v>
      </c>
      <c r="C24" s="420"/>
      <c r="D24" s="526">
        <f t="shared" si="0"/>
        <v>106906003.64</v>
      </c>
      <c r="E24" s="526">
        <v>131033415.81999999</v>
      </c>
      <c r="F24" s="579"/>
      <c r="G24" s="526">
        <f t="shared" si="1"/>
        <v>131033415.81999999</v>
      </c>
      <c r="H24" s="581"/>
      <c r="I24" s="149"/>
      <c r="J24" s="149"/>
      <c r="K24" s="149"/>
      <c r="L24" s="149"/>
      <c r="M24" s="149"/>
      <c r="N24" s="149"/>
      <c r="O24" s="149"/>
      <c r="P24" s="149"/>
      <c r="Q24" s="149"/>
      <c r="R24" s="149"/>
      <c r="S24" s="149"/>
      <c r="T24" s="149"/>
      <c r="U24" s="149"/>
      <c r="V24" s="149"/>
      <c r="W24" s="149"/>
      <c r="X24" s="149"/>
      <c r="Y24" s="149"/>
      <c r="Z24" s="149"/>
      <c r="AA24" s="149"/>
      <c r="AB24" s="149"/>
      <c r="AC24" s="149"/>
      <c r="AD24" s="149"/>
      <c r="AE24" s="149"/>
      <c r="AF24" s="149"/>
    </row>
    <row r="25" spans="1:32" s="150" customFormat="1" x14ac:dyDescent="0.25">
      <c r="A25" s="276" t="s">
        <v>990</v>
      </c>
      <c r="B25" s="589">
        <v>4604735209.4499998</v>
      </c>
      <c r="C25" s="420"/>
      <c r="D25" s="526">
        <f t="shared" si="0"/>
        <v>4604735209.4499998</v>
      </c>
      <c r="E25" s="526">
        <v>3479402366.9200001</v>
      </c>
      <c r="F25" s="579"/>
      <c r="G25" s="526">
        <f t="shared" si="1"/>
        <v>3479402366.9200001</v>
      </c>
      <c r="H25" s="581"/>
      <c r="I25" s="149"/>
      <c r="J25" s="149"/>
      <c r="K25" s="149"/>
      <c r="L25" s="149"/>
      <c r="M25" s="149"/>
      <c r="N25" s="149"/>
      <c r="O25" s="149"/>
      <c r="P25" s="149"/>
      <c r="Q25" s="149"/>
      <c r="R25" s="149"/>
      <c r="S25" s="149"/>
      <c r="T25" s="149"/>
      <c r="U25" s="149"/>
      <c r="V25" s="149"/>
      <c r="W25" s="149"/>
      <c r="X25" s="149"/>
      <c r="Y25" s="149"/>
      <c r="Z25" s="149"/>
      <c r="AA25" s="149"/>
      <c r="AB25" s="149"/>
      <c r="AC25" s="149"/>
      <c r="AD25" s="149"/>
      <c r="AE25" s="149"/>
      <c r="AF25" s="149"/>
    </row>
    <row r="26" spans="1:32" s="150" customFormat="1" ht="24" x14ac:dyDescent="0.25">
      <c r="A26" s="276" t="s">
        <v>1001</v>
      </c>
      <c r="B26" s="589">
        <v>191248988</v>
      </c>
      <c r="C26" s="420"/>
      <c r="D26" s="526">
        <f t="shared" si="0"/>
        <v>191248988</v>
      </c>
      <c r="E26" s="526">
        <v>109341496</v>
      </c>
      <c r="F26" s="579"/>
      <c r="G26" s="526">
        <f t="shared" si="1"/>
        <v>109341496</v>
      </c>
      <c r="H26" s="581"/>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row>
    <row r="27" spans="1:32" s="150" customFormat="1" x14ac:dyDescent="0.25">
      <c r="A27" s="276" t="s">
        <v>991</v>
      </c>
      <c r="B27" s="589">
        <v>804461175.39999998</v>
      </c>
      <c r="C27" s="420"/>
      <c r="D27" s="526">
        <f t="shared" si="0"/>
        <v>804461175.39999998</v>
      </c>
      <c r="E27" s="526">
        <v>795205621.57000005</v>
      </c>
      <c r="F27" s="579"/>
      <c r="G27" s="526">
        <f t="shared" si="1"/>
        <v>795205621.57000005</v>
      </c>
      <c r="H27" s="581"/>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row>
    <row r="28" spans="1:32" s="150" customFormat="1" x14ac:dyDescent="0.25">
      <c r="A28" s="276" t="s">
        <v>992</v>
      </c>
      <c r="B28" s="589">
        <v>989787681.89999998</v>
      </c>
      <c r="C28" s="420"/>
      <c r="D28" s="526">
        <f t="shared" si="0"/>
        <v>989787681.89999998</v>
      </c>
      <c r="E28" s="526">
        <v>488400075.31</v>
      </c>
      <c r="F28" s="579"/>
      <c r="G28" s="526">
        <f t="shared" si="1"/>
        <v>488400075.31</v>
      </c>
      <c r="H28" s="581"/>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row>
    <row r="29" spans="1:32" s="150" customFormat="1" x14ac:dyDescent="0.25">
      <c r="A29" s="276" t="s">
        <v>993</v>
      </c>
      <c r="B29" s="589">
        <v>2706254308.6999998</v>
      </c>
      <c r="C29" s="420"/>
      <c r="D29" s="526">
        <f t="shared" si="0"/>
        <v>2706254308.6999998</v>
      </c>
      <c r="E29" s="526">
        <v>2671641517.5100002</v>
      </c>
      <c r="F29" s="579"/>
      <c r="G29" s="526">
        <f>+F29+E29</f>
        <v>2671641517.5100002</v>
      </c>
      <c r="H29" s="581"/>
      <c r="I29" s="149"/>
      <c r="J29" s="149"/>
      <c r="K29" s="149"/>
      <c r="L29" s="149"/>
      <c r="M29" s="149"/>
      <c r="N29" s="149"/>
      <c r="O29" s="149"/>
      <c r="P29" s="149"/>
      <c r="Q29" s="149"/>
      <c r="R29" s="149"/>
      <c r="S29" s="149"/>
      <c r="T29" s="149"/>
      <c r="U29" s="149"/>
      <c r="V29" s="149"/>
      <c r="W29" s="149"/>
      <c r="X29" s="149"/>
      <c r="Y29" s="149"/>
      <c r="Z29" s="149"/>
      <c r="AA29" s="149"/>
      <c r="AB29" s="149"/>
      <c r="AC29" s="149"/>
      <c r="AD29" s="149"/>
      <c r="AE29" s="149"/>
      <c r="AF29" s="149"/>
    </row>
    <row r="30" spans="1:32" s="150" customFormat="1" x14ac:dyDescent="0.25">
      <c r="A30" s="276" t="s">
        <v>994</v>
      </c>
      <c r="B30" s="589">
        <v>17687097388.669998</v>
      </c>
      <c r="C30" s="420"/>
      <c r="D30" s="526">
        <f t="shared" si="0"/>
        <v>17687097388.669998</v>
      </c>
      <c r="E30" s="526">
        <v>13157799770</v>
      </c>
      <c r="F30" s="579"/>
      <c r="G30" s="526">
        <f t="shared" ref="G30:G48" si="2">+F30+E30</f>
        <v>13157799770</v>
      </c>
      <c r="H30" s="581"/>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row>
    <row r="31" spans="1:32" s="150" customFormat="1" x14ac:dyDescent="0.25">
      <c r="A31" s="276" t="s">
        <v>995</v>
      </c>
      <c r="B31" s="589">
        <v>823493993.12</v>
      </c>
      <c r="C31" s="420"/>
      <c r="D31" s="526">
        <f t="shared" si="0"/>
        <v>823493993.12</v>
      </c>
      <c r="E31" s="526">
        <v>1326796755.5799999</v>
      </c>
      <c r="F31" s="579"/>
      <c r="G31" s="526">
        <f t="shared" si="2"/>
        <v>1326796755.5799999</v>
      </c>
      <c r="H31" s="581"/>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row>
    <row r="32" spans="1:32" s="150" customFormat="1" x14ac:dyDescent="0.25">
      <c r="A32" s="276" t="s">
        <v>1084</v>
      </c>
      <c r="B32" s="526">
        <v>0</v>
      </c>
      <c r="C32" s="420"/>
      <c r="D32" s="526">
        <f t="shared" si="0"/>
        <v>0</v>
      </c>
      <c r="E32" s="526">
        <v>0</v>
      </c>
      <c r="F32" s="579"/>
      <c r="G32" s="526">
        <f t="shared" si="2"/>
        <v>0</v>
      </c>
      <c r="H32" s="581"/>
      <c r="I32" s="149"/>
      <c r="J32" s="149"/>
      <c r="K32" s="149"/>
      <c r="L32" s="149"/>
      <c r="M32" s="149"/>
      <c r="N32" s="149"/>
      <c r="O32" s="149"/>
      <c r="P32" s="149"/>
      <c r="Q32" s="149"/>
      <c r="R32" s="149"/>
      <c r="S32" s="149"/>
      <c r="T32" s="149"/>
      <c r="U32" s="149"/>
      <c r="V32" s="149"/>
      <c r="W32" s="149"/>
      <c r="X32" s="149"/>
      <c r="Y32" s="149"/>
      <c r="Z32" s="149"/>
      <c r="AA32" s="149"/>
      <c r="AB32" s="149"/>
      <c r="AC32" s="149"/>
      <c r="AD32" s="149"/>
      <c r="AE32" s="149"/>
      <c r="AF32" s="149"/>
    </row>
    <row r="33" spans="1:32" s="150" customFormat="1" x14ac:dyDescent="0.25">
      <c r="A33" s="276" t="s">
        <v>996</v>
      </c>
      <c r="B33" s="589">
        <v>915594263.27999997</v>
      </c>
      <c r="C33" s="420"/>
      <c r="D33" s="526">
        <f t="shared" si="0"/>
        <v>915594263.27999997</v>
      </c>
      <c r="E33" s="526">
        <v>1820067058.3199999</v>
      </c>
      <c r="F33" s="579"/>
      <c r="G33" s="526">
        <f t="shared" si="2"/>
        <v>1820067058.3199999</v>
      </c>
      <c r="H33" s="581"/>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row>
    <row r="34" spans="1:32" s="150" customFormat="1" x14ac:dyDescent="0.25">
      <c r="A34" s="276" t="s">
        <v>976</v>
      </c>
      <c r="B34" s="470"/>
      <c r="C34" s="420">
        <v>3931503723.8000002</v>
      </c>
      <c r="D34" s="526">
        <f t="shared" si="0"/>
        <v>3931503723.8000002</v>
      </c>
      <c r="E34" s="526"/>
      <c r="F34" s="579">
        <v>2829118699.3800001</v>
      </c>
      <c r="G34" s="526">
        <f t="shared" si="2"/>
        <v>2829118699.3800001</v>
      </c>
      <c r="H34" s="581"/>
      <c r="I34" s="149"/>
      <c r="J34" s="149"/>
      <c r="K34" s="149"/>
      <c r="L34" s="149"/>
      <c r="M34" s="149"/>
      <c r="N34" s="149"/>
      <c r="O34" s="149"/>
      <c r="P34" s="149"/>
      <c r="Q34" s="149"/>
      <c r="R34" s="149"/>
      <c r="S34" s="149"/>
      <c r="T34" s="149"/>
      <c r="U34" s="149"/>
      <c r="V34" s="149"/>
      <c r="W34" s="149"/>
      <c r="X34" s="149"/>
      <c r="Y34" s="149"/>
      <c r="Z34" s="149"/>
      <c r="AA34" s="149"/>
      <c r="AB34" s="149"/>
      <c r="AC34" s="149"/>
      <c r="AD34" s="149"/>
      <c r="AE34" s="149"/>
      <c r="AF34" s="149"/>
    </row>
    <row r="35" spans="1:32" s="150" customFormat="1" x14ac:dyDescent="0.25">
      <c r="A35" s="276" t="s">
        <v>997</v>
      </c>
      <c r="B35" s="470"/>
      <c r="C35" s="420">
        <v>2414705552.9699998</v>
      </c>
      <c r="D35" s="526">
        <f t="shared" si="0"/>
        <v>2414705552.9699998</v>
      </c>
      <c r="E35" s="526"/>
      <c r="F35" s="579">
        <v>1988783066.8</v>
      </c>
      <c r="G35" s="526">
        <f t="shared" si="2"/>
        <v>1988783066.8</v>
      </c>
      <c r="H35" s="581"/>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row>
    <row r="36" spans="1:32" s="150" customFormat="1" x14ac:dyDescent="0.25">
      <c r="A36" s="276" t="s">
        <v>998</v>
      </c>
      <c r="B36" s="470"/>
      <c r="C36" s="420">
        <v>0</v>
      </c>
      <c r="D36" s="526">
        <f t="shared" si="0"/>
        <v>0</v>
      </c>
      <c r="E36" s="526"/>
      <c r="F36" s="579">
        <v>0</v>
      </c>
      <c r="G36" s="526">
        <f t="shared" si="2"/>
        <v>0</v>
      </c>
      <c r="H36" s="581"/>
      <c r="I36" s="149"/>
      <c r="J36" s="149"/>
      <c r="K36" s="149"/>
      <c r="L36" s="149"/>
      <c r="M36" s="149"/>
      <c r="N36" s="149"/>
      <c r="O36" s="149"/>
      <c r="P36" s="149"/>
      <c r="Q36" s="149"/>
      <c r="R36" s="149"/>
      <c r="S36" s="149"/>
      <c r="T36" s="149"/>
      <c r="U36" s="149"/>
      <c r="V36" s="149"/>
      <c r="W36" s="149"/>
      <c r="X36" s="149"/>
      <c r="Y36" s="149"/>
      <c r="Z36" s="149"/>
      <c r="AA36" s="149"/>
      <c r="AB36" s="149"/>
      <c r="AC36" s="149"/>
      <c r="AD36" s="149"/>
      <c r="AE36" s="149"/>
      <c r="AF36" s="149"/>
    </row>
    <row r="37" spans="1:32" s="150" customFormat="1" x14ac:dyDescent="0.25">
      <c r="A37" s="276" t="s">
        <v>999</v>
      </c>
      <c r="B37" s="470"/>
      <c r="C37" s="420">
        <v>5235612150.6099997</v>
      </c>
      <c r="D37" s="526">
        <f t="shared" si="0"/>
        <v>5235612150.6099997</v>
      </c>
      <c r="E37" s="526"/>
      <c r="F37" s="579">
        <v>3807138189.0799999</v>
      </c>
      <c r="G37" s="526">
        <f t="shared" si="2"/>
        <v>3807138189.0799999</v>
      </c>
      <c r="H37" s="581"/>
      <c r="I37" s="149"/>
      <c r="J37" s="149"/>
      <c r="K37" s="149"/>
      <c r="L37" s="149"/>
      <c r="M37" s="149"/>
      <c r="N37" s="149"/>
      <c r="O37" s="149"/>
      <c r="P37" s="149"/>
      <c r="Q37" s="149"/>
      <c r="R37" s="149"/>
      <c r="S37" s="149"/>
      <c r="T37" s="149"/>
      <c r="U37" s="149"/>
      <c r="V37" s="149"/>
      <c r="W37" s="149"/>
      <c r="X37" s="149"/>
      <c r="Y37" s="149"/>
      <c r="Z37" s="149"/>
      <c r="AA37" s="149"/>
      <c r="AB37" s="149"/>
      <c r="AC37" s="149"/>
      <c r="AD37" s="149"/>
      <c r="AE37" s="149"/>
      <c r="AF37" s="149"/>
    </row>
    <row r="38" spans="1:32" s="150" customFormat="1" x14ac:dyDescent="0.25">
      <c r="A38" s="276" t="s">
        <v>994</v>
      </c>
      <c r="B38" s="470"/>
      <c r="C38" s="420">
        <v>1040950743.61</v>
      </c>
      <c r="D38" s="526">
        <f t="shared" si="0"/>
        <v>1040950743.61</v>
      </c>
      <c r="E38" s="526"/>
      <c r="F38" s="579">
        <v>1205099885.45</v>
      </c>
      <c r="G38" s="526">
        <f t="shared" si="2"/>
        <v>1205099885.45</v>
      </c>
      <c r="H38" s="581"/>
      <c r="I38" s="149"/>
      <c r="J38" s="149"/>
      <c r="K38" s="149"/>
      <c r="L38" s="149"/>
      <c r="M38" s="149"/>
      <c r="N38" s="149"/>
      <c r="O38" s="149"/>
      <c r="P38" s="149"/>
      <c r="Q38" s="149"/>
      <c r="R38" s="149"/>
      <c r="S38" s="149"/>
      <c r="T38" s="149"/>
      <c r="U38" s="149"/>
      <c r="V38" s="149"/>
      <c r="W38" s="149"/>
      <c r="X38" s="149"/>
      <c r="Y38" s="149"/>
      <c r="Z38" s="149"/>
      <c r="AA38" s="149"/>
      <c r="AB38" s="149"/>
      <c r="AC38" s="149"/>
      <c r="AD38" s="149"/>
      <c r="AE38" s="149"/>
      <c r="AF38" s="149"/>
    </row>
    <row r="39" spans="1:32" s="150" customFormat="1" x14ac:dyDescent="0.25">
      <c r="A39" s="276" t="s">
        <v>982</v>
      </c>
      <c r="B39" s="470"/>
      <c r="C39" s="420">
        <v>289068265.38999999</v>
      </c>
      <c r="D39" s="526">
        <f t="shared" si="0"/>
        <v>289068265.38999999</v>
      </c>
      <c r="E39" s="526"/>
      <c r="F39" s="579">
        <v>294026312.5</v>
      </c>
      <c r="G39" s="526">
        <f t="shared" si="2"/>
        <v>294026312.5</v>
      </c>
      <c r="H39" s="581"/>
      <c r="I39" s="149"/>
      <c r="J39" s="149"/>
      <c r="K39" s="149"/>
      <c r="L39" s="149"/>
      <c r="M39" s="149"/>
      <c r="N39" s="149"/>
      <c r="O39" s="149"/>
      <c r="P39" s="149"/>
      <c r="Q39" s="149"/>
      <c r="R39" s="149"/>
      <c r="S39" s="149"/>
      <c r="T39" s="149"/>
      <c r="U39" s="149"/>
      <c r="V39" s="149"/>
      <c r="W39" s="149"/>
      <c r="X39" s="149"/>
      <c r="Y39" s="149"/>
      <c r="Z39" s="149"/>
      <c r="AA39" s="149"/>
      <c r="AB39" s="149"/>
      <c r="AC39" s="149"/>
      <c r="AD39" s="149"/>
      <c r="AE39" s="149"/>
      <c r="AF39" s="149"/>
    </row>
    <row r="40" spans="1:32" s="150" customFormat="1" x14ac:dyDescent="0.25">
      <c r="A40" s="276" t="s">
        <v>983</v>
      </c>
      <c r="B40" s="470"/>
      <c r="C40" s="420">
        <v>638663.63</v>
      </c>
      <c r="D40" s="526">
        <f t="shared" si="0"/>
        <v>638663.63</v>
      </c>
      <c r="E40" s="526"/>
      <c r="F40" s="579">
        <v>245454.53</v>
      </c>
      <c r="G40" s="526">
        <f t="shared" si="2"/>
        <v>245454.53</v>
      </c>
      <c r="H40" s="581"/>
      <c r="I40" s="149"/>
      <c r="J40" s="149"/>
      <c r="K40" s="149"/>
      <c r="L40" s="149"/>
      <c r="M40" s="149"/>
      <c r="N40" s="149"/>
      <c r="O40" s="149"/>
      <c r="P40" s="149"/>
      <c r="Q40" s="149"/>
      <c r="R40" s="149"/>
      <c r="S40" s="149"/>
      <c r="T40" s="149"/>
      <c r="U40" s="149"/>
      <c r="V40" s="149"/>
      <c r="W40" s="149"/>
      <c r="X40" s="149"/>
      <c r="Y40" s="149"/>
      <c r="Z40" s="149"/>
      <c r="AA40" s="149"/>
      <c r="AB40" s="149"/>
      <c r="AC40" s="149"/>
      <c r="AD40" s="149"/>
      <c r="AE40" s="149"/>
      <c r="AF40" s="149"/>
    </row>
    <row r="41" spans="1:32" s="150" customFormat="1" x14ac:dyDescent="0.25">
      <c r="A41" s="276" t="s">
        <v>984</v>
      </c>
      <c r="B41" s="470"/>
      <c r="C41" s="420">
        <v>340330947.73000002</v>
      </c>
      <c r="D41" s="526">
        <f t="shared" si="0"/>
        <v>340330947.73000002</v>
      </c>
      <c r="E41" s="526"/>
      <c r="F41" s="579">
        <v>232934451.72999999</v>
      </c>
      <c r="G41" s="526">
        <f t="shared" si="2"/>
        <v>232934451.72999999</v>
      </c>
      <c r="H41" s="581"/>
      <c r="I41" s="149"/>
      <c r="J41" s="149"/>
      <c r="K41" s="149"/>
      <c r="L41" s="149"/>
      <c r="M41" s="149"/>
      <c r="N41" s="149"/>
      <c r="O41" s="149"/>
      <c r="P41" s="149"/>
      <c r="Q41" s="149"/>
      <c r="R41" s="149"/>
      <c r="S41" s="149"/>
      <c r="T41" s="149"/>
      <c r="U41" s="149"/>
      <c r="V41" s="149"/>
      <c r="W41" s="149"/>
      <c r="X41" s="149"/>
      <c r="Y41" s="149"/>
      <c r="Z41" s="149"/>
      <c r="AA41" s="149"/>
      <c r="AB41" s="149"/>
      <c r="AC41" s="149"/>
      <c r="AD41" s="149"/>
      <c r="AE41" s="149"/>
      <c r="AF41" s="149"/>
    </row>
    <row r="42" spans="1:32" s="150" customFormat="1" x14ac:dyDescent="0.25">
      <c r="A42" s="276" t="s">
        <v>985</v>
      </c>
      <c r="B42" s="470"/>
      <c r="C42" s="420">
        <v>494582168.94</v>
      </c>
      <c r="D42" s="526">
        <f t="shared" si="0"/>
        <v>494582168.94</v>
      </c>
      <c r="E42" s="526"/>
      <c r="F42" s="579">
        <v>720418794.12</v>
      </c>
      <c r="G42" s="526">
        <f t="shared" si="2"/>
        <v>720418794.12</v>
      </c>
      <c r="H42" s="581"/>
      <c r="I42" s="149"/>
      <c r="J42" s="149"/>
      <c r="K42" s="149"/>
      <c r="L42" s="149"/>
      <c r="M42" s="149"/>
      <c r="N42" s="149"/>
      <c r="O42" s="149"/>
      <c r="P42" s="149"/>
      <c r="Q42" s="149"/>
      <c r="R42" s="149"/>
      <c r="S42" s="149"/>
      <c r="T42" s="149"/>
      <c r="U42" s="149"/>
      <c r="V42" s="149"/>
      <c r="W42" s="149"/>
      <c r="X42" s="149"/>
      <c r="Y42" s="149"/>
      <c r="Z42" s="149"/>
      <c r="AA42" s="149"/>
      <c r="AB42" s="149"/>
      <c r="AC42" s="149"/>
      <c r="AD42" s="149"/>
      <c r="AE42" s="149"/>
      <c r="AF42" s="149"/>
    </row>
    <row r="43" spans="1:32" s="150" customFormat="1" x14ac:dyDescent="0.25">
      <c r="A43" s="276" t="s">
        <v>986</v>
      </c>
      <c r="B43" s="471"/>
      <c r="C43" s="420">
        <v>64145215.210000001</v>
      </c>
      <c r="D43" s="526">
        <f t="shared" si="0"/>
        <v>64145215.210000001</v>
      </c>
      <c r="E43" s="580"/>
      <c r="F43" s="579">
        <v>52378292.159999996</v>
      </c>
      <c r="G43" s="526">
        <f t="shared" si="2"/>
        <v>52378292.159999996</v>
      </c>
      <c r="H43" s="581"/>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row>
    <row r="44" spans="1:32" s="150" customFormat="1" x14ac:dyDescent="0.25">
      <c r="A44" s="276" t="s">
        <v>1000</v>
      </c>
      <c r="B44" s="471"/>
      <c r="C44" s="420">
        <v>14382783.85</v>
      </c>
      <c r="D44" s="526">
        <f t="shared" si="0"/>
        <v>14382783.85</v>
      </c>
      <c r="E44" s="580"/>
      <c r="F44" s="579">
        <v>37134311.869999997</v>
      </c>
      <c r="G44" s="526">
        <f t="shared" si="2"/>
        <v>37134311.869999997</v>
      </c>
      <c r="H44" s="581"/>
      <c r="I44" s="149"/>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row>
    <row r="45" spans="1:32" s="150" customFormat="1" ht="13.9" customHeight="1" x14ac:dyDescent="0.25">
      <c r="A45" s="276" t="s">
        <v>989</v>
      </c>
      <c r="B45" s="471"/>
      <c r="C45" s="420">
        <v>30063281.41</v>
      </c>
      <c r="D45" s="526">
        <f t="shared" si="0"/>
        <v>30063281.41</v>
      </c>
      <c r="E45" s="580"/>
      <c r="F45" s="579">
        <v>3486558.43</v>
      </c>
      <c r="G45" s="526">
        <f t="shared" si="2"/>
        <v>3486558.43</v>
      </c>
      <c r="H45" s="581"/>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row>
    <row r="46" spans="1:32" s="150" customFormat="1" ht="24" x14ac:dyDescent="0.25">
      <c r="A46" s="276" t="s">
        <v>1001</v>
      </c>
      <c r="B46" s="471"/>
      <c r="C46" s="420">
        <v>691432051.95000005</v>
      </c>
      <c r="D46" s="526">
        <f t="shared" si="0"/>
        <v>691432051.95000005</v>
      </c>
      <c r="E46" s="580"/>
      <c r="F46" s="579">
        <v>784357753.73000002</v>
      </c>
      <c r="G46" s="526">
        <f t="shared" si="2"/>
        <v>784357753.73000002</v>
      </c>
      <c r="H46" s="581"/>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row>
    <row r="47" spans="1:32" s="150" customFormat="1" x14ac:dyDescent="0.25">
      <c r="A47" s="276" t="s">
        <v>1002</v>
      </c>
      <c r="B47" s="471"/>
      <c r="C47" s="420">
        <v>2425131</v>
      </c>
      <c r="D47" s="526">
        <f t="shared" si="0"/>
        <v>2425131</v>
      </c>
      <c r="E47" s="580"/>
      <c r="F47" s="579">
        <v>31369121</v>
      </c>
      <c r="G47" s="526">
        <f t="shared" si="2"/>
        <v>31369121</v>
      </c>
      <c r="H47" s="581"/>
      <c r="I47" s="149"/>
      <c r="J47" s="149"/>
      <c r="K47" s="149"/>
      <c r="L47" s="149"/>
      <c r="M47" s="149"/>
      <c r="N47" s="149"/>
      <c r="O47" s="149"/>
      <c r="P47" s="149"/>
      <c r="Q47" s="149"/>
      <c r="R47" s="149"/>
      <c r="S47" s="149"/>
      <c r="T47" s="149"/>
      <c r="U47" s="149"/>
      <c r="V47" s="149"/>
      <c r="W47" s="149"/>
      <c r="X47" s="149"/>
      <c r="Y47" s="149"/>
      <c r="Z47" s="149"/>
      <c r="AA47" s="149"/>
      <c r="AB47" s="149"/>
      <c r="AC47" s="149"/>
      <c r="AD47" s="149"/>
      <c r="AE47" s="149"/>
      <c r="AF47" s="149"/>
    </row>
    <row r="48" spans="1:32" s="150" customFormat="1" x14ac:dyDescent="0.25">
      <c r="A48" s="276" t="s">
        <v>991</v>
      </c>
      <c r="B48" s="471"/>
      <c r="C48" s="420">
        <v>33803174.560000002</v>
      </c>
      <c r="D48" s="526">
        <f t="shared" si="0"/>
        <v>33803174.560000002</v>
      </c>
      <c r="E48" s="580"/>
      <c r="F48" s="579">
        <v>13928774.539999999</v>
      </c>
      <c r="G48" s="526">
        <f t="shared" si="2"/>
        <v>13928774.539999999</v>
      </c>
      <c r="H48" s="581"/>
      <c r="I48" s="149"/>
      <c r="J48" s="149"/>
      <c r="K48" s="149"/>
      <c r="L48" s="149"/>
      <c r="M48" s="149"/>
      <c r="N48" s="149"/>
      <c r="O48" s="149"/>
      <c r="P48" s="149"/>
      <c r="Q48" s="149"/>
      <c r="R48" s="149"/>
      <c r="S48" s="149"/>
      <c r="T48" s="149"/>
      <c r="U48" s="149"/>
      <c r="V48" s="149"/>
      <c r="W48" s="149"/>
      <c r="X48" s="149"/>
      <c r="Y48" s="149"/>
      <c r="Z48" s="149"/>
      <c r="AA48" s="149"/>
      <c r="AB48" s="149"/>
      <c r="AC48" s="149"/>
      <c r="AD48" s="149"/>
      <c r="AE48" s="149"/>
      <c r="AF48" s="149"/>
    </row>
    <row r="49" spans="1:32" s="150" customFormat="1" x14ac:dyDescent="0.25">
      <c r="A49" s="276" t="s">
        <v>993</v>
      </c>
      <c r="B49" s="471"/>
      <c r="C49" s="420">
        <v>2590793874.8299999</v>
      </c>
      <c r="D49" s="526">
        <f t="shared" si="0"/>
        <v>2590793874.8299999</v>
      </c>
      <c r="E49" s="580"/>
      <c r="F49" s="579">
        <v>2112799018.47</v>
      </c>
      <c r="G49" s="526">
        <f>+F49+E49</f>
        <v>2112799018.47</v>
      </c>
      <c r="H49" s="581"/>
      <c r="I49" s="149"/>
      <c r="J49" s="149"/>
      <c r="K49" s="149"/>
      <c r="L49" s="149"/>
      <c r="M49" s="149"/>
      <c r="N49" s="149"/>
      <c r="O49" s="149"/>
      <c r="P49" s="149"/>
      <c r="Q49" s="149"/>
      <c r="R49" s="149"/>
      <c r="S49" s="149"/>
      <c r="T49" s="149"/>
      <c r="U49" s="149"/>
      <c r="V49" s="149"/>
      <c r="W49" s="149"/>
      <c r="X49" s="149"/>
      <c r="Y49" s="149"/>
      <c r="Z49" s="149"/>
      <c r="AA49" s="149"/>
      <c r="AB49" s="149"/>
      <c r="AC49" s="149"/>
      <c r="AD49" s="149"/>
      <c r="AE49" s="149"/>
      <c r="AF49" s="149"/>
    </row>
    <row r="50" spans="1:32" s="150" customFormat="1" x14ac:dyDescent="0.25">
      <c r="A50" s="276" t="s">
        <v>1003</v>
      </c>
      <c r="B50" s="471"/>
      <c r="C50" s="420">
        <v>0</v>
      </c>
      <c r="D50" s="526">
        <f t="shared" si="0"/>
        <v>0</v>
      </c>
      <c r="E50" s="580"/>
      <c r="F50" s="579">
        <v>0</v>
      </c>
      <c r="G50" s="526">
        <f>+F50+E50</f>
        <v>0</v>
      </c>
      <c r="H50" s="581"/>
      <c r="I50" s="149"/>
      <c r="J50" s="149"/>
      <c r="K50" s="149"/>
      <c r="L50" s="149"/>
      <c r="M50" s="149"/>
      <c r="N50" s="149"/>
      <c r="O50" s="149"/>
      <c r="P50" s="149"/>
      <c r="Q50" s="149"/>
      <c r="R50" s="149"/>
      <c r="S50" s="149"/>
      <c r="T50" s="149"/>
      <c r="U50" s="149"/>
      <c r="V50" s="149"/>
      <c r="W50" s="149"/>
      <c r="X50" s="149"/>
      <c r="Y50" s="149"/>
      <c r="Z50" s="149"/>
      <c r="AA50" s="149"/>
      <c r="AB50" s="149"/>
      <c r="AC50" s="149"/>
      <c r="AD50" s="149"/>
      <c r="AE50" s="149"/>
      <c r="AF50" s="149"/>
    </row>
    <row r="51" spans="1:32" s="150" customFormat="1" x14ac:dyDescent="0.25">
      <c r="A51" s="276" t="s">
        <v>1004</v>
      </c>
      <c r="B51" s="471"/>
      <c r="C51" s="420">
        <v>2905986277.1700001</v>
      </c>
      <c r="D51" s="526">
        <f t="shared" si="0"/>
        <v>2905986277.1700001</v>
      </c>
      <c r="E51" s="580"/>
      <c r="F51" s="579">
        <v>2587059312.0799999</v>
      </c>
      <c r="G51" s="526">
        <f>+F51+E51</f>
        <v>2587059312.0799999</v>
      </c>
      <c r="H51" s="581"/>
      <c r="I51" s="149"/>
      <c r="J51" s="149"/>
      <c r="K51" s="149"/>
      <c r="L51" s="149"/>
      <c r="M51" s="149"/>
      <c r="N51" s="149"/>
      <c r="O51" s="149"/>
      <c r="P51" s="149"/>
      <c r="Q51" s="149"/>
      <c r="R51" s="149"/>
      <c r="S51" s="149"/>
      <c r="T51" s="149"/>
      <c r="U51" s="149"/>
      <c r="V51" s="149"/>
      <c r="W51" s="149"/>
      <c r="X51" s="149"/>
      <c r="Y51" s="149"/>
      <c r="Z51" s="149"/>
      <c r="AA51" s="149"/>
      <c r="AB51" s="149"/>
      <c r="AC51" s="149"/>
      <c r="AD51" s="149"/>
      <c r="AE51" s="149"/>
      <c r="AF51" s="149"/>
    </row>
    <row r="52" spans="1:32" s="150" customFormat="1" x14ac:dyDescent="0.25">
      <c r="A52" s="276" t="s">
        <v>1005</v>
      </c>
      <c r="B52" s="471"/>
      <c r="C52" s="420">
        <v>588276607.55999994</v>
      </c>
      <c r="D52" s="526">
        <f t="shared" si="0"/>
        <v>588276607.55999994</v>
      </c>
      <c r="E52" s="580"/>
      <c r="F52" s="579">
        <v>504666367.68000001</v>
      </c>
      <c r="G52" s="526">
        <f>+F52+E52</f>
        <v>504666367.68000001</v>
      </c>
      <c r="H52" s="581"/>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row>
    <row r="53" spans="1:32" s="150" customFormat="1" ht="15.75" thickBot="1" x14ac:dyDescent="0.3">
      <c r="A53" s="183" t="s">
        <v>2</v>
      </c>
      <c r="B53" s="527">
        <f>+SUM(B$9:$B52)</f>
        <v>64342485088.560005</v>
      </c>
      <c r="C53" s="366">
        <f>+SUM(C$9:$C52)</f>
        <v>20668700614.220001</v>
      </c>
      <c r="D53" s="527">
        <f>+SUM($D$9:D52)</f>
        <v>85011185702.780014</v>
      </c>
      <c r="E53" s="527">
        <f>+SUM($E$9:E52)</f>
        <v>54349203531.970001</v>
      </c>
      <c r="F53" s="366">
        <f>+SUM($F$9:F52)</f>
        <v>17204944363.550003</v>
      </c>
      <c r="G53" s="527">
        <f>+SUM($G$9:G52)</f>
        <v>71554147895.520004</v>
      </c>
      <c r="H53" s="149"/>
      <c r="I53" s="149"/>
      <c r="J53" s="149"/>
      <c r="K53" s="149"/>
      <c r="L53" s="149"/>
      <c r="M53" s="149"/>
      <c r="N53" s="149"/>
      <c r="O53" s="149"/>
      <c r="P53" s="149"/>
      <c r="Q53" s="149"/>
      <c r="R53" s="149"/>
      <c r="S53" s="149"/>
      <c r="T53" s="149"/>
      <c r="U53" s="149"/>
      <c r="V53" s="149"/>
      <c r="W53" s="149"/>
      <c r="X53" s="149"/>
      <c r="Y53" s="149"/>
      <c r="Z53" s="149"/>
      <c r="AA53" s="149"/>
      <c r="AB53" s="149"/>
      <c r="AC53" s="149"/>
      <c r="AD53" s="149"/>
      <c r="AE53" s="149"/>
      <c r="AF53" s="149"/>
    </row>
    <row r="54" spans="1:32" s="150" customFormat="1" x14ac:dyDescent="0.25">
      <c r="A54" s="149"/>
      <c r="B54" s="466"/>
      <c r="C54" s="149"/>
      <c r="D54" s="518"/>
      <c r="E54" s="518"/>
      <c r="F54" s="518"/>
      <c r="G54" s="518"/>
      <c r="H54" s="149"/>
      <c r="I54" s="149"/>
      <c r="J54" s="149"/>
      <c r="K54" s="149"/>
      <c r="L54" s="149"/>
      <c r="M54" s="149"/>
      <c r="N54" s="149"/>
      <c r="O54" s="149"/>
      <c r="P54" s="149"/>
      <c r="Q54" s="149"/>
      <c r="R54" s="149"/>
      <c r="S54" s="149"/>
      <c r="T54" s="149"/>
      <c r="U54" s="149"/>
      <c r="V54" s="149"/>
      <c r="W54" s="149"/>
      <c r="X54" s="149"/>
      <c r="Y54" s="149"/>
      <c r="Z54" s="149"/>
      <c r="AA54" s="149"/>
      <c r="AB54" s="149"/>
      <c r="AC54" s="149"/>
      <c r="AD54" s="149"/>
      <c r="AE54" s="149"/>
      <c r="AF54" s="149"/>
    </row>
    <row r="55" spans="1:32" s="150" customFormat="1" x14ac:dyDescent="0.25">
      <c r="A55" s="149"/>
      <c r="B55" s="466"/>
      <c r="C55" s="432"/>
      <c r="D55" s="518"/>
      <c r="E55" s="518"/>
      <c r="F55" s="518"/>
      <c r="G55" s="518"/>
      <c r="H55" s="149"/>
      <c r="I55" s="149"/>
      <c r="J55" s="149"/>
      <c r="K55" s="149"/>
      <c r="L55" s="149"/>
      <c r="M55" s="149"/>
      <c r="N55" s="149"/>
      <c r="O55" s="149"/>
      <c r="P55" s="149"/>
      <c r="Q55" s="149"/>
      <c r="R55" s="149"/>
      <c r="S55" s="149"/>
      <c r="T55" s="149"/>
      <c r="U55" s="149"/>
      <c r="V55" s="149"/>
      <c r="W55" s="149"/>
      <c r="X55" s="149"/>
      <c r="Y55" s="149"/>
      <c r="Z55" s="149"/>
      <c r="AA55" s="149"/>
      <c r="AB55" s="149"/>
      <c r="AC55" s="149"/>
      <c r="AD55" s="149"/>
      <c r="AE55" s="149"/>
      <c r="AF55" s="149"/>
    </row>
    <row r="56" spans="1:32" s="150" customFormat="1" x14ac:dyDescent="0.25">
      <c r="A56" s="149"/>
      <c r="B56" s="466"/>
      <c r="C56" s="432"/>
      <c r="D56" s="518"/>
      <c r="E56" s="518"/>
      <c r="F56" s="518"/>
      <c r="G56" s="518"/>
      <c r="H56" s="149"/>
      <c r="I56" s="149"/>
      <c r="J56" s="149"/>
      <c r="K56" s="149"/>
      <c r="L56" s="149"/>
      <c r="M56" s="149"/>
      <c r="N56" s="149"/>
      <c r="O56" s="149"/>
      <c r="P56" s="149"/>
      <c r="Q56" s="149"/>
      <c r="R56" s="149"/>
      <c r="S56" s="149"/>
      <c r="T56" s="149"/>
      <c r="U56" s="149"/>
      <c r="V56" s="149"/>
      <c r="W56" s="149"/>
      <c r="X56" s="149"/>
      <c r="Y56" s="149"/>
      <c r="Z56" s="149"/>
      <c r="AA56" s="149"/>
      <c r="AB56" s="149"/>
      <c r="AC56" s="149"/>
      <c r="AD56" s="149"/>
      <c r="AE56" s="149"/>
      <c r="AF56" s="149"/>
    </row>
    <row r="57" spans="1:32" s="150" customFormat="1" x14ac:dyDescent="0.25">
      <c r="A57" s="149"/>
      <c r="B57" s="466"/>
      <c r="C57" s="149"/>
      <c r="D57" s="518"/>
      <c r="E57" s="518"/>
      <c r="F57" s="518"/>
      <c r="G57" s="518"/>
      <c r="H57" s="149"/>
      <c r="I57" s="149"/>
      <c r="J57" s="149"/>
      <c r="K57" s="149"/>
      <c r="L57" s="149"/>
      <c r="M57" s="149"/>
      <c r="N57" s="149"/>
      <c r="O57" s="149"/>
      <c r="P57" s="149"/>
      <c r="Q57" s="149"/>
      <c r="R57" s="149"/>
      <c r="S57" s="149"/>
      <c r="T57" s="149"/>
      <c r="U57" s="149"/>
      <c r="V57" s="149"/>
      <c r="W57" s="149"/>
      <c r="X57" s="149"/>
      <c r="Y57" s="149"/>
      <c r="Z57" s="149"/>
      <c r="AA57" s="149"/>
      <c r="AB57" s="149"/>
      <c r="AC57" s="149"/>
      <c r="AD57" s="149"/>
      <c r="AE57" s="149"/>
      <c r="AF57" s="149"/>
    </row>
    <row r="58" spans="1:32" s="150" customFormat="1" x14ac:dyDescent="0.25">
      <c r="A58" s="149"/>
      <c r="B58" s="466"/>
      <c r="C58" s="149"/>
      <c r="D58" s="518"/>
      <c r="E58" s="518"/>
      <c r="F58" s="518"/>
      <c r="G58" s="518"/>
      <c r="H58" s="149"/>
      <c r="I58" s="149"/>
      <c r="J58" s="149"/>
      <c r="K58" s="149"/>
      <c r="L58" s="149"/>
      <c r="M58" s="149"/>
      <c r="N58" s="149"/>
      <c r="O58" s="149"/>
      <c r="P58" s="149"/>
      <c r="Q58" s="149"/>
      <c r="R58" s="149"/>
      <c r="S58" s="149"/>
      <c r="T58" s="149"/>
      <c r="U58" s="149"/>
      <c r="V58" s="149"/>
      <c r="W58" s="149"/>
      <c r="X58" s="149"/>
      <c r="Y58" s="149"/>
      <c r="Z58" s="149"/>
      <c r="AA58" s="149"/>
      <c r="AB58" s="149"/>
      <c r="AC58" s="149"/>
      <c r="AD58" s="149"/>
      <c r="AE58" s="149"/>
      <c r="AF58" s="149"/>
    </row>
    <row r="59" spans="1:32" s="150" customFormat="1" x14ac:dyDescent="0.25">
      <c r="A59" s="149"/>
      <c r="B59" s="466"/>
      <c r="C59" s="149"/>
      <c r="D59" s="518"/>
      <c r="E59" s="518"/>
      <c r="F59" s="518"/>
      <c r="G59" s="518"/>
      <c r="H59" s="149"/>
      <c r="I59" s="149"/>
      <c r="J59" s="149"/>
      <c r="K59" s="149"/>
      <c r="L59" s="149"/>
      <c r="M59" s="149"/>
      <c r="N59" s="149"/>
      <c r="O59" s="149"/>
      <c r="P59" s="149"/>
      <c r="Q59" s="149"/>
      <c r="R59" s="149"/>
      <c r="S59" s="149"/>
      <c r="T59" s="149"/>
      <c r="U59" s="149"/>
      <c r="V59" s="149"/>
      <c r="W59" s="149"/>
      <c r="X59" s="149"/>
      <c r="Y59" s="149"/>
      <c r="Z59" s="149"/>
      <c r="AA59" s="149"/>
      <c r="AB59" s="149"/>
      <c r="AC59" s="149"/>
      <c r="AD59" s="149"/>
      <c r="AE59" s="149"/>
      <c r="AF59" s="149"/>
    </row>
    <row r="60" spans="1:32" s="150" customFormat="1" x14ac:dyDescent="0.25">
      <c r="A60" s="149"/>
      <c r="B60" s="466"/>
      <c r="C60" s="149"/>
      <c r="D60" s="518"/>
      <c r="E60" s="518"/>
      <c r="F60" s="518"/>
      <c r="G60" s="518"/>
      <c r="H60" s="149"/>
      <c r="I60" s="149"/>
      <c r="J60" s="149"/>
      <c r="K60" s="149"/>
      <c r="L60" s="149"/>
      <c r="M60" s="149"/>
      <c r="N60" s="149"/>
      <c r="O60" s="149"/>
      <c r="P60" s="149"/>
      <c r="Q60" s="149"/>
      <c r="R60" s="149"/>
      <c r="S60" s="149"/>
      <c r="T60" s="149"/>
      <c r="U60" s="149"/>
      <c r="V60" s="149"/>
      <c r="W60" s="149"/>
      <c r="X60" s="149"/>
      <c r="Y60" s="149"/>
      <c r="Z60" s="149"/>
      <c r="AA60" s="149"/>
      <c r="AB60" s="149"/>
      <c r="AC60" s="149"/>
      <c r="AD60" s="149"/>
      <c r="AE60" s="149"/>
      <c r="AF60" s="149"/>
    </row>
    <row r="61" spans="1:32" s="150" customFormat="1" x14ac:dyDescent="0.25">
      <c r="A61" s="149"/>
      <c r="B61" s="466"/>
      <c r="C61" s="149"/>
      <c r="D61" s="518"/>
      <c r="E61" s="518"/>
      <c r="F61" s="518"/>
      <c r="G61" s="518"/>
      <c r="H61" s="149"/>
      <c r="I61" s="149"/>
      <c r="J61" s="149"/>
      <c r="K61" s="149"/>
      <c r="L61" s="149"/>
      <c r="M61" s="149"/>
      <c r="N61" s="149"/>
      <c r="O61" s="149"/>
      <c r="P61" s="149"/>
      <c r="Q61" s="149"/>
      <c r="R61" s="149"/>
      <c r="S61" s="149"/>
      <c r="T61" s="149"/>
      <c r="U61" s="149"/>
      <c r="V61" s="149"/>
      <c r="W61" s="149"/>
      <c r="X61" s="149"/>
      <c r="Y61" s="149"/>
      <c r="Z61" s="149"/>
      <c r="AA61" s="149"/>
      <c r="AB61" s="149"/>
      <c r="AC61" s="149"/>
      <c r="AD61" s="149"/>
      <c r="AE61" s="149"/>
      <c r="AF61" s="149"/>
    </row>
    <row r="62" spans="1:32" s="124" customFormat="1" x14ac:dyDescent="0.25">
      <c r="A62" s="111"/>
      <c r="B62" s="472"/>
      <c r="C62" s="111"/>
      <c r="D62" s="528"/>
      <c r="E62" s="528"/>
      <c r="F62" s="528"/>
      <c r="G62" s="528"/>
      <c r="H62" s="111"/>
      <c r="I62" s="111"/>
      <c r="J62" s="111"/>
      <c r="K62" s="111"/>
      <c r="L62" s="111"/>
      <c r="M62" s="111"/>
      <c r="N62" s="111"/>
      <c r="O62" s="111"/>
      <c r="P62" s="111"/>
      <c r="Q62" s="111"/>
      <c r="R62" s="111"/>
      <c r="S62" s="111"/>
      <c r="T62" s="111"/>
      <c r="U62" s="111"/>
      <c r="V62" s="111"/>
      <c r="W62" s="111"/>
      <c r="X62" s="111"/>
      <c r="Y62" s="111"/>
      <c r="Z62" s="111"/>
      <c r="AA62" s="111"/>
      <c r="AB62" s="111"/>
      <c r="AC62" s="111"/>
      <c r="AD62" s="111"/>
      <c r="AE62" s="111"/>
      <c r="AF62" s="111"/>
    </row>
    <row r="63" spans="1:32" s="124" customFormat="1" x14ac:dyDescent="0.25">
      <c r="A63" s="111"/>
      <c r="B63" s="472"/>
      <c r="C63" s="111"/>
      <c r="D63" s="528"/>
      <c r="E63" s="528"/>
      <c r="F63" s="528"/>
      <c r="G63" s="528"/>
      <c r="H63" s="111"/>
      <c r="I63" s="111"/>
      <c r="J63" s="111"/>
      <c r="K63" s="111"/>
      <c r="L63" s="111"/>
      <c r="M63" s="111"/>
      <c r="N63" s="111"/>
      <c r="O63" s="111"/>
      <c r="P63" s="111"/>
      <c r="Q63" s="111"/>
      <c r="R63" s="111"/>
      <c r="S63" s="111"/>
      <c r="T63" s="111"/>
      <c r="U63" s="111"/>
      <c r="V63" s="111"/>
      <c r="W63" s="111"/>
      <c r="X63" s="111"/>
      <c r="Y63" s="111"/>
      <c r="Z63" s="111"/>
      <c r="AA63" s="111"/>
      <c r="AB63" s="111"/>
      <c r="AC63" s="111"/>
      <c r="AD63" s="111"/>
      <c r="AE63" s="111"/>
      <c r="AF63" s="111"/>
    </row>
  </sheetData>
  <mergeCells count="2">
    <mergeCell ref="A4:G4"/>
    <mergeCell ref="A7:A8"/>
  </mergeCells>
  <hyperlinks>
    <hyperlink ref="G1" location="ER!A1" display="ER" xr:uid="{00000000-0004-0000-1F00-000000000000}"/>
  </hyperlinks>
  <printOptions horizontalCentered="1"/>
  <pageMargins left="0.70866141732283472" right="0.70866141732283472" top="0.74803149606299213" bottom="0.74803149606299213" header="0.31496062992125984" footer="0.31496062992125984"/>
  <pageSetup paperSize="9" scale="62" orientation="portrait" r:id="rId1"/>
  <legacy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Hoja33">
    <tabColor rgb="FFFFFF00"/>
    <pageSetUpPr fitToPage="1"/>
  </sheetPr>
  <dimension ref="A1:X20"/>
  <sheetViews>
    <sheetView showGridLines="0" topLeftCell="E8" zoomScaleNormal="100" zoomScaleSheetLayoutView="70" workbookViewId="0">
      <selection activeCell="B12" sqref="B12"/>
    </sheetView>
  </sheetViews>
  <sheetFormatPr baseColWidth="10" defaultRowHeight="15" x14ac:dyDescent="0.25"/>
  <cols>
    <col min="1" max="1" width="34" style="103" customWidth="1"/>
    <col min="2" max="3" width="16.5703125" style="103" bestFit="1" customWidth="1"/>
    <col min="4" max="4" width="4.42578125" style="103" customWidth="1"/>
    <col min="5" max="5" width="33.28515625" style="103" customWidth="1"/>
    <col min="6" max="7" width="14.85546875" style="103" bestFit="1" customWidth="1"/>
    <col min="8" max="20" width="11.5703125" style="103" customWidth="1"/>
  </cols>
  <sheetData>
    <row r="1" spans="1:24" x14ac:dyDescent="0.25">
      <c r="A1" s="103" t="str">
        <f>Indice!C1</f>
        <v>SALLUSTRO Y CIA. S.A.</v>
      </c>
      <c r="E1" s="122" t="s">
        <v>128</v>
      </c>
    </row>
    <row r="4" spans="1:24" x14ac:dyDescent="0.25">
      <c r="A4" s="651" t="s">
        <v>289</v>
      </c>
      <c r="B4" s="651"/>
      <c r="C4" s="651"/>
      <c r="D4" s="651"/>
      <c r="E4" s="651"/>
      <c r="F4" s="131"/>
      <c r="U4" s="103"/>
      <c r="V4" s="103"/>
      <c r="W4" s="103"/>
      <c r="X4" s="103"/>
    </row>
    <row r="5" spans="1:24" x14ac:dyDescent="0.25">
      <c r="A5" s="128"/>
      <c r="B5" s="130"/>
      <c r="C5" s="129"/>
      <c r="D5" s="129"/>
      <c r="E5" s="129"/>
      <c r="F5" s="131"/>
      <c r="U5" s="103"/>
      <c r="V5" s="103"/>
      <c r="W5" s="103"/>
      <c r="X5" s="103"/>
    </row>
    <row r="6" spans="1:24" x14ac:dyDescent="0.25">
      <c r="A6" s="277" t="s">
        <v>215</v>
      </c>
      <c r="B6" s="669"/>
      <c r="C6" s="669"/>
      <c r="D6" s="129"/>
      <c r="E6" s="129"/>
      <c r="F6" s="131"/>
      <c r="U6" s="103"/>
      <c r="V6" s="103"/>
      <c r="W6" s="103"/>
      <c r="X6" s="103"/>
    </row>
    <row r="7" spans="1:24" x14ac:dyDescent="0.25">
      <c r="A7" s="128"/>
      <c r="D7" s="129"/>
      <c r="E7" s="129"/>
      <c r="F7" s="131"/>
      <c r="U7" s="103"/>
      <c r="V7" s="103"/>
      <c r="W7" s="103"/>
      <c r="X7" s="103"/>
    </row>
    <row r="8" spans="1:24" x14ac:dyDescent="0.25">
      <c r="A8" s="132" t="s">
        <v>137</v>
      </c>
      <c r="B8" s="306">
        <f>IFERROR(IF(Indice!B6="","2XX2",YEAR(Indice!B6)),"2XX2")</f>
        <v>2024</v>
      </c>
      <c r="C8" s="306">
        <f>+IFERROR(YEAR(Indice!B6-366),"2XX1")</f>
        <v>2023</v>
      </c>
      <c r="D8" s="129"/>
      <c r="E8" s="132" t="s">
        <v>217</v>
      </c>
      <c r="F8" s="306">
        <f>IFERROR(IF(Indice!B6="","2XX2",YEAR(Indice!B6)),"2XX2")</f>
        <v>2024</v>
      </c>
      <c r="G8" s="306">
        <f>+IFERROR(YEAR(Indice!B6-366),"2XX1")</f>
        <v>2023</v>
      </c>
      <c r="U8" s="103"/>
      <c r="V8" s="103"/>
      <c r="W8" s="103"/>
      <c r="X8" s="103"/>
    </row>
    <row r="9" spans="1:24" x14ac:dyDescent="0.25">
      <c r="A9"/>
      <c r="B9"/>
      <c r="C9"/>
      <c r="D9" s="129"/>
      <c r="E9" s="129"/>
      <c r="F9" s="131"/>
      <c r="U9" s="103"/>
      <c r="V9" s="103"/>
      <c r="W9" s="103"/>
      <c r="X9" s="103"/>
    </row>
    <row r="10" spans="1:24" x14ac:dyDescent="0.25">
      <c r="A10" s="363" t="s">
        <v>891</v>
      </c>
      <c r="B10" s="367">
        <v>1538431447.4100001</v>
      </c>
      <c r="C10" s="367">
        <v>1640627158.8199999</v>
      </c>
      <c r="D10" s="129"/>
      <c r="E10" s="363" t="s">
        <v>1195</v>
      </c>
      <c r="F10" s="578">
        <v>91741918.810000002</v>
      </c>
      <c r="G10" s="578">
        <v>272651983.10000002</v>
      </c>
      <c r="U10" s="103"/>
      <c r="V10" s="103"/>
      <c r="W10" s="103"/>
      <c r="X10" s="103"/>
    </row>
    <row r="11" spans="1:24" x14ac:dyDescent="0.25">
      <c r="A11" s="363" t="s">
        <v>892</v>
      </c>
      <c r="B11" s="457">
        <v>440779902.27999997</v>
      </c>
      <c r="C11" s="457">
        <v>556881183.28999996</v>
      </c>
      <c r="D11" s="129"/>
      <c r="E11" s="363" t="s">
        <v>1086</v>
      </c>
      <c r="F11" s="578">
        <v>216727272.71000001</v>
      </c>
      <c r="G11" s="578">
        <v>258016818.16999999</v>
      </c>
      <c r="U11" s="103"/>
      <c r="V11" s="103"/>
      <c r="W11" s="103"/>
      <c r="X11" s="103"/>
    </row>
    <row r="12" spans="1:24" x14ac:dyDescent="0.25">
      <c r="A12" s="363" t="s">
        <v>893</v>
      </c>
      <c r="B12" s="457">
        <v>5147421981.7399998</v>
      </c>
      <c r="C12" s="457">
        <v>3748483581.9299998</v>
      </c>
      <c r="D12" s="129"/>
      <c r="E12" s="128"/>
      <c r="F12" s="578"/>
      <c r="G12" s="578"/>
      <c r="U12" s="103"/>
      <c r="V12" s="103"/>
      <c r="W12" s="103"/>
      <c r="X12" s="103"/>
    </row>
    <row r="13" spans="1:24" x14ac:dyDescent="0.25">
      <c r="A13" s="363" t="s">
        <v>894</v>
      </c>
      <c r="B13" s="457">
        <v>434177109.89999998</v>
      </c>
      <c r="C13" s="457">
        <v>464513239.64999998</v>
      </c>
      <c r="D13" s="129"/>
      <c r="E13" s="128"/>
      <c r="F13" s="578"/>
      <c r="G13" s="578"/>
      <c r="U13" s="103"/>
      <c r="V13" s="103"/>
      <c r="W13" s="103"/>
      <c r="X13" s="103"/>
    </row>
    <row r="14" spans="1:24" x14ac:dyDescent="0.25">
      <c r="A14" s="363" t="s">
        <v>895</v>
      </c>
      <c r="B14" s="457">
        <v>438807754.80000001</v>
      </c>
      <c r="C14" s="457">
        <v>279159745.87</v>
      </c>
      <c r="D14" s="129"/>
      <c r="E14" s="128"/>
      <c r="F14" s="578"/>
      <c r="G14" s="578"/>
      <c r="U14" s="103"/>
      <c r="V14" s="103"/>
      <c r="W14" s="103"/>
      <c r="X14" s="103"/>
    </row>
    <row r="15" spans="1:24" x14ac:dyDescent="0.25">
      <c r="A15" s="363" t="s">
        <v>896</v>
      </c>
      <c r="B15" s="367">
        <v>1959450223.5999999</v>
      </c>
      <c r="C15" s="367">
        <v>1598791626.0699999</v>
      </c>
      <c r="D15" s="129"/>
      <c r="E15" s="128"/>
      <c r="F15" s="578"/>
      <c r="G15" s="578"/>
      <c r="U15" s="103"/>
      <c r="V15" s="103"/>
      <c r="W15" s="103"/>
      <c r="X15" s="103"/>
    </row>
    <row r="16" spans="1:24" x14ac:dyDescent="0.25">
      <c r="A16" s="363" t="s">
        <v>897</v>
      </c>
      <c r="B16" s="367">
        <v>2891815</v>
      </c>
      <c r="C16" s="367">
        <v>0</v>
      </c>
      <c r="D16" s="129"/>
      <c r="E16" s="128"/>
      <c r="F16" s="130"/>
      <c r="G16" s="130"/>
      <c r="U16" s="103"/>
      <c r="V16" s="103"/>
      <c r="W16" s="103"/>
      <c r="X16" s="103"/>
    </row>
    <row r="17" spans="1:24" x14ac:dyDescent="0.25">
      <c r="A17" s="363" t="s">
        <v>1006</v>
      </c>
      <c r="B17" s="367">
        <v>589342431.89999998</v>
      </c>
      <c r="C17" s="367">
        <v>124513335.5</v>
      </c>
      <c r="D17" s="129"/>
      <c r="E17" s="128"/>
      <c r="F17" s="130"/>
      <c r="G17" s="130"/>
      <c r="U17" s="103"/>
      <c r="V17" s="103"/>
      <c r="W17" s="103"/>
      <c r="X17" s="103"/>
    </row>
    <row r="18" spans="1:24" x14ac:dyDescent="0.25">
      <c r="A18" s="363" t="s">
        <v>1078</v>
      </c>
      <c r="B18" s="367">
        <v>0</v>
      </c>
      <c r="C18" s="367">
        <v>0</v>
      </c>
      <c r="D18" s="129"/>
      <c r="E18" s="128"/>
      <c r="F18" s="130"/>
      <c r="G18" s="130"/>
      <c r="U18" s="103"/>
      <c r="V18" s="103"/>
      <c r="W18" s="103"/>
      <c r="X18" s="103"/>
    </row>
    <row r="19" spans="1:24" x14ac:dyDescent="0.25">
      <c r="A19" s="132" t="s">
        <v>2</v>
      </c>
      <c r="B19" s="575">
        <f>SUM(B10:B18)</f>
        <v>10551302666.629999</v>
      </c>
      <c r="C19" s="575">
        <f>SUM(C10:C18)</f>
        <v>8412969871.1299982</v>
      </c>
      <c r="D19" s="576"/>
      <c r="E19" s="577" t="s">
        <v>2</v>
      </c>
      <c r="F19" s="575">
        <f>SUM($F$10:F16)</f>
        <v>308469191.51999998</v>
      </c>
      <c r="G19" s="575">
        <f>SUM($G$10:G18)</f>
        <v>530668801.26999998</v>
      </c>
      <c r="U19" s="103"/>
      <c r="V19" s="103"/>
      <c r="W19" s="103"/>
      <c r="X19" s="103"/>
    </row>
    <row r="20" spans="1:24" x14ac:dyDescent="0.25">
      <c r="A20"/>
      <c r="B20" s="84"/>
      <c r="C20" s="84"/>
      <c r="D20" s="129"/>
      <c r="E20" s="129"/>
      <c r="F20" s="131"/>
      <c r="U20" s="103"/>
      <c r="V20" s="103"/>
      <c r="W20" s="103"/>
      <c r="X20" s="103"/>
    </row>
  </sheetData>
  <mergeCells count="2">
    <mergeCell ref="A4:E4"/>
    <mergeCell ref="B6:C6"/>
  </mergeCells>
  <hyperlinks>
    <hyperlink ref="E1" location="ER!A1" display="ER" xr:uid="{00000000-0004-0000-2000-000000000000}"/>
  </hyperlinks>
  <printOptions horizontalCentered="1"/>
  <pageMargins left="0.70866141732283472" right="0.70866141732283472" top="0.74803149606299213" bottom="0.74803149606299213" header="0.31496062992125984" footer="0.31496062992125984"/>
  <pageSetup paperSize="9" scale="97"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Hoja34">
    <tabColor rgb="FFFFFF00"/>
    <pageSetUpPr fitToPage="1"/>
  </sheetPr>
  <dimension ref="A1:AE24"/>
  <sheetViews>
    <sheetView showGridLines="0" topLeftCell="E10" zoomScaleNormal="100" zoomScaleSheetLayoutView="70" workbookViewId="0">
      <selection activeCell="F14" sqref="F14"/>
    </sheetView>
  </sheetViews>
  <sheetFormatPr baseColWidth="10" defaultRowHeight="15" x14ac:dyDescent="0.25"/>
  <cols>
    <col min="1" max="1" width="25.28515625" style="103" customWidth="1"/>
    <col min="2" max="2" width="12.85546875" style="103" customWidth="1"/>
    <col min="3" max="3" width="12.5703125" style="103" customWidth="1"/>
    <col min="4" max="4" width="11.5703125" style="103" customWidth="1"/>
    <col min="5" max="5" width="30.85546875" style="103" customWidth="1"/>
    <col min="6" max="7" width="14.85546875" style="103" bestFit="1" customWidth="1"/>
    <col min="8" max="15" width="11.5703125" style="103" customWidth="1"/>
  </cols>
  <sheetData>
    <row r="1" spans="1:31" x14ac:dyDescent="0.25">
      <c r="A1" s="103" t="str">
        <f>Indice!C1</f>
        <v>SALLUSTRO Y CIA. S.A.</v>
      </c>
      <c r="E1" s="122" t="s">
        <v>128</v>
      </c>
    </row>
    <row r="5" spans="1:31" x14ac:dyDescent="0.25">
      <c r="A5" s="239" t="s">
        <v>290</v>
      </c>
      <c r="B5" s="239"/>
      <c r="C5" s="239"/>
      <c r="D5" s="239"/>
      <c r="E5" s="239"/>
      <c r="F5" s="239"/>
      <c r="G5" s="239"/>
      <c r="H5" s="26"/>
      <c r="I5" s="26"/>
      <c r="J5" s="26"/>
      <c r="K5" s="26"/>
      <c r="L5" s="26"/>
      <c r="M5" s="26"/>
      <c r="N5" s="26"/>
      <c r="O5" s="26"/>
      <c r="P5" s="26"/>
      <c r="Q5" s="26"/>
      <c r="R5" s="26"/>
      <c r="S5" s="26"/>
      <c r="T5" s="26"/>
      <c r="U5" s="26"/>
      <c r="V5" s="26"/>
      <c r="W5" s="26"/>
      <c r="X5" s="26"/>
      <c r="Y5" s="26"/>
      <c r="Z5" s="26"/>
      <c r="AA5" s="26"/>
      <c r="AB5" s="26"/>
      <c r="AC5" s="26"/>
      <c r="AD5" s="26"/>
    </row>
    <row r="6" spans="1:31" x14ac:dyDescent="0.25">
      <c r="A6" s="262" t="s">
        <v>215</v>
      </c>
    </row>
    <row r="7" spans="1:31" x14ac:dyDescent="0.25">
      <c r="C7" s="262"/>
    </row>
    <row r="8" spans="1:31" x14ac:dyDescent="0.25">
      <c r="A8" s="127" t="s">
        <v>139</v>
      </c>
      <c r="B8" s="306">
        <f>IFERROR(IF(Indice!B6="","2XX2",YEAR(Indice!B6)),"2XX2")</f>
        <v>2024</v>
      </c>
      <c r="C8" s="306">
        <f>+IFERROR(YEAR(Indice!B6-366),"2XX1")</f>
        <v>2023</v>
      </c>
      <c r="D8" s="26"/>
      <c r="E8" s="127" t="s">
        <v>141</v>
      </c>
      <c r="F8" s="306">
        <f>IFERROR(IF(Indice!B6="","2XX2",YEAR(Indice!B6)),"2XX2")</f>
        <v>2024</v>
      </c>
      <c r="G8" s="306">
        <f>+IFERROR(YEAR(Indice!B6-366),"2XX1")</f>
        <v>2023</v>
      </c>
      <c r="H8" s="26"/>
      <c r="I8" s="26"/>
      <c r="J8" s="26"/>
      <c r="K8" s="26"/>
      <c r="L8" s="26"/>
      <c r="M8" s="26"/>
      <c r="N8" s="26"/>
      <c r="O8" s="26"/>
      <c r="P8" s="26"/>
      <c r="Q8" s="26"/>
      <c r="R8" s="26"/>
      <c r="S8" s="26"/>
      <c r="T8" s="26"/>
      <c r="U8" s="26"/>
      <c r="V8" s="26"/>
      <c r="W8" s="26"/>
      <c r="X8" s="26"/>
      <c r="Y8" s="26"/>
      <c r="Z8" s="26"/>
      <c r="AA8" s="26"/>
      <c r="AB8" s="26"/>
      <c r="AC8" s="26"/>
      <c r="AD8" s="26"/>
      <c r="AE8" s="26"/>
    </row>
    <row r="9" spans="1:31" x14ac:dyDescent="0.25">
      <c r="A9" s="363"/>
      <c r="B9" s="368"/>
      <c r="C9" s="368"/>
      <c r="D9" s="26"/>
      <c r="E9" s="363" t="s">
        <v>898</v>
      </c>
      <c r="F9" s="554">
        <v>9460900217.4599991</v>
      </c>
      <c r="G9" s="554">
        <v>5544426239.6700001</v>
      </c>
      <c r="H9" s="26"/>
      <c r="I9" s="26"/>
      <c r="J9" s="26"/>
      <c r="K9" s="26"/>
      <c r="L9" s="26"/>
      <c r="M9" s="26"/>
      <c r="N9" s="26"/>
      <c r="O9" s="26"/>
      <c r="P9" s="26"/>
      <c r="Q9" s="26"/>
      <c r="R9" s="26"/>
      <c r="S9" s="26"/>
      <c r="T9" s="26"/>
      <c r="U9" s="26"/>
      <c r="V9" s="26"/>
      <c r="W9" s="26"/>
      <c r="X9" s="26"/>
      <c r="Y9" s="26"/>
      <c r="Z9" s="26"/>
      <c r="AA9" s="26"/>
      <c r="AB9" s="26"/>
      <c r="AC9" s="26"/>
      <c r="AD9" s="26"/>
      <c r="AE9" s="26"/>
    </row>
    <row r="10" spans="1:31" x14ac:dyDescent="0.25">
      <c r="A10" s="363"/>
      <c r="B10" s="368"/>
      <c r="C10" s="368"/>
      <c r="D10" s="26"/>
      <c r="E10" s="363" t="s">
        <v>899</v>
      </c>
      <c r="F10" s="361">
        <v>763673234.80999994</v>
      </c>
      <c r="G10" s="361">
        <v>489001944.33999997</v>
      </c>
      <c r="H10" s="26"/>
      <c r="I10" s="26"/>
      <c r="J10" s="26"/>
      <c r="K10" s="26"/>
      <c r="L10" s="26"/>
      <c r="M10" s="26"/>
      <c r="N10" s="26"/>
      <c r="O10" s="26"/>
      <c r="P10" s="26"/>
      <c r="Q10" s="26"/>
      <c r="R10" s="26"/>
      <c r="S10" s="26"/>
      <c r="T10" s="26"/>
      <c r="U10" s="26"/>
      <c r="V10" s="26"/>
      <c r="W10" s="26"/>
      <c r="X10" s="26"/>
      <c r="Y10" s="26"/>
      <c r="Z10" s="26"/>
      <c r="AA10" s="26"/>
      <c r="AB10" s="26"/>
      <c r="AC10" s="26"/>
      <c r="AD10" s="26"/>
      <c r="AE10" s="26"/>
    </row>
    <row r="11" spans="1:31" x14ac:dyDescent="0.25">
      <c r="A11" s="363"/>
      <c r="B11" s="368"/>
      <c r="C11" s="368"/>
      <c r="D11" s="26"/>
      <c r="E11" s="363" t="s">
        <v>900</v>
      </c>
      <c r="F11" s="554">
        <v>493556469</v>
      </c>
      <c r="G11" s="554">
        <v>2114625545.25</v>
      </c>
      <c r="H11" s="26"/>
      <c r="I11" s="26"/>
      <c r="J11" s="26"/>
      <c r="K11" s="26"/>
      <c r="L11" s="26"/>
      <c r="M11" s="26"/>
      <c r="N11" s="26"/>
      <c r="O11" s="26"/>
      <c r="P11" s="26"/>
      <c r="Q11" s="26"/>
      <c r="R11" s="26"/>
      <c r="S11" s="26"/>
      <c r="T11" s="26"/>
      <c r="U11" s="26"/>
      <c r="V11" s="26"/>
      <c r="W11" s="26"/>
      <c r="X11" s="26"/>
      <c r="Y11" s="26"/>
      <c r="Z11" s="26"/>
      <c r="AA11" s="26"/>
      <c r="AB11" s="26"/>
      <c r="AC11" s="26"/>
      <c r="AD11" s="26"/>
      <c r="AE11" s="26"/>
    </row>
    <row r="12" spans="1:31" x14ac:dyDescent="0.25">
      <c r="A12" s="363"/>
      <c r="B12" s="368"/>
      <c r="C12" s="368"/>
      <c r="D12" s="26"/>
      <c r="E12" s="363" t="s">
        <v>901</v>
      </c>
      <c r="F12" s="554">
        <v>205373501.44</v>
      </c>
      <c r="G12" s="554">
        <v>154466623.30000001</v>
      </c>
      <c r="H12" s="26"/>
      <c r="I12" s="26"/>
      <c r="J12" s="26"/>
      <c r="K12" s="26"/>
      <c r="L12" s="26"/>
      <c r="M12" s="26"/>
      <c r="N12" s="26"/>
      <c r="O12" s="26"/>
      <c r="P12" s="26"/>
      <c r="Q12" s="26"/>
      <c r="R12" s="26"/>
      <c r="S12" s="26"/>
      <c r="T12" s="26"/>
      <c r="U12" s="26"/>
      <c r="V12" s="26"/>
      <c r="W12" s="26"/>
      <c r="X12" s="26"/>
      <c r="Y12" s="26"/>
      <c r="Z12" s="26"/>
      <c r="AA12" s="26"/>
      <c r="AB12" s="26"/>
      <c r="AC12" s="26"/>
      <c r="AD12" s="26"/>
      <c r="AE12" s="26"/>
    </row>
    <row r="13" spans="1:31" x14ac:dyDescent="0.25">
      <c r="A13" s="363"/>
      <c r="B13" s="368"/>
      <c r="C13" s="368"/>
      <c r="D13" s="26"/>
      <c r="E13" s="363" t="s">
        <v>902</v>
      </c>
      <c r="F13" s="554">
        <v>923537166.74000001</v>
      </c>
      <c r="G13" s="554">
        <v>679552431.32000005</v>
      </c>
      <c r="H13" s="26"/>
      <c r="I13" s="26"/>
      <c r="J13" s="26"/>
      <c r="K13" s="26"/>
      <c r="L13" s="26"/>
      <c r="M13" s="26"/>
      <c r="N13" s="26"/>
      <c r="O13" s="26"/>
      <c r="P13" s="26"/>
      <c r="Q13" s="26"/>
      <c r="R13" s="26"/>
      <c r="S13" s="26"/>
      <c r="T13" s="26"/>
      <c r="U13" s="26"/>
      <c r="V13" s="26"/>
      <c r="W13" s="26"/>
      <c r="X13" s="26"/>
      <c r="Y13" s="26"/>
      <c r="Z13" s="26"/>
      <c r="AA13" s="26"/>
      <c r="AB13" s="26"/>
      <c r="AC13" s="26"/>
      <c r="AD13" s="26"/>
      <c r="AE13" s="26"/>
    </row>
    <row r="14" spans="1:31" x14ac:dyDescent="0.25">
      <c r="A14" s="363"/>
      <c r="B14" s="368"/>
      <c r="C14" s="368"/>
      <c r="D14" s="26"/>
      <c r="E14" s="363" t="s">
        <v>903</v>
      </c>
      <c r="F14" s="554">
        <v>3278450996.7399998</v>
      </c>
      <c r="G14" s="554">
        <v>3389196893.8800001</v>
      </c>
      <c r="H14" s="26"/>
      <c r="I14" s="26"/>
      <c r="J14" s="26"/>
      <c r="K14" s="26"/>
      <c r="L14" s="26"/>
      <c r="M14" s="26"/>
      <c r="N14" s="26"/>
      <c r="O14" s="26"/>
      <c r="P14" s="26"/>
      <c r="Q14" s="26"/>
      <c r="R14" s="26"/>
      <c r="S14" s="26"/>
      <c r="T14" s="26"/>
      <c r="U14" s="26"/>
      <c r="V14" s="26"/>
      <c r="W14" s="26"/>
      <c r="X14" s="26"/>
      <c r="Y14" s="26"/>
      <c r="Z14" s="26"/>
      <c r="AA14" s="26"/>
      <c r="AB14" s="26"/>
      <c r="AC14" s="26"/>
      <c r="AD14" s="26"/>
      <c r="AE14" s="26"/>
    </row>
    <row r="15" spans="1:31" x14ac:dyDescent="0.25">
      <c r="A15" s="127" t="s">
        <v>140</v>
      </c>
      <c r="B15" s="133">
        <f>SUM($B9:B14)</f>
        <v>0</v>
      </c>
      <c r="C15" s="133">
        <f>SUM($C9:C14)</f>
        <v>0</v>
      </c>
      <c r="D15" s="26"/>
      <c r="E15" s="127" t="s">
        <v>226</v>
      </c>
      <c r="F15" s="387">
        <f>SUM($F9:F14)</f>
        <v>15125491586.189999</v>
      </c>
      <c r="G15" s="387">
        <f>SUM($G9:G14)</f>
        <v>12371269677.760002</v>
      </c>
      <c r="H15" s="26"/>
      <c r="I15" s="26"/>
      <c r="J15" s="26"/>
      <c r="K15" s="26"/>
      <c r="L15" s="26"/>
      <c r="M15" s="26"/>
      <c r="N15" s="26"/>
      <c r="O15" s="26"/>
      <c r="P15" s="26"/>
      <c r="Q15" s="26"/>
      <c r="R15" s="26"/>
      <c r="S15" s="26"/>
      <c r="T15" s="26"/>
      <c r="U15" s="26"/>
      <c r="V15" s="26"/>
      <c r="W15" s="26"/>
      <c r="X15" s="26"/>
      <c r="Y15" s="26"/>
      <c r="Z15" s="26"/>
      <c r="AA15" s="26"/>
      <c r="AB15" s="26"/>
      <c r="AC15" s="26"/>
      <c r="AD15" s="26"/>
      <c r="AE15" s="26"/>
    </row>
    <row r="16" spans="1:31" x14ac:dyDescent="0.25">
      <c r="A16" s="26"/>
      <c r="B16" s="26"/>
      <c r="C16" s="26"/>
      <c r="D16" s="26"/>
      <c r="H16" s="26"/>
      <c r="I16" s="26"/>
      <c r="J16" s="26"/>
      <c r="K16" s="26"/>
      <c r="L16" s="26"/>
      <c r="M16" s="26"/>
      <c r="N16" s="26"/>
      <c r="O16" s="26"/>
      <c r="P16" s="26"/>
      <c r="Q16" s="26"/>
      <c r="R16" s="26"/>
      <c r="S16" s="26"/>
      <c r="T16" s="26"/>
      <c r="U16" s="26"/>
      <c r="V16" s="26"/>
      <c r="W16" s="26"/>
      <c r="X16" s="26"/>
      <c r="Y16" s="26"/>
      <c r="Z16" s="26"/>
      <c r="AA16" s="26"/>
      <c r="AB16" s="26"/>
      <c r="AC16" s="26"/>
      <c r="AD16" s="26"/>
      <c r="AE16" s="26"/>
    </row>
    <row r="18" spans="4:31" x14ac:dyDescent="0.25">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row>
    <row r="19" spans="4:31" x14ac:dyDescent="0.25">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row>
    <row r="20" spans="4:31" customFormat="1" x14ac:dyDescent="0.25">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row>
    <row r="21" spans="4:31" customFormat="1" x14ac:dyDescent="0.25">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row>
    <row r="22" spans="4:31" x14ac:dyDescent="0.25">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row>
    <row r="23" spans="4:31" x14ac:dyDescent="0.25">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row>
    <row r="24" spans="4:31" x14ac:dyDescent="0.25">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row>
  </sheetData>
  <hyperlinks>
    <hyperlink ref="E1" location="ER!A1" display="ER" xr:uid="{00000000-0004-0000-2100-000000000000}"/>
  </hyperlinks>
  <printOptions horizontalCentered="1"/>
  <pageMargins left="0.70866141732283472" right="0.70866141732283472" top="0.74803149606299213" bottom="0.74803149606299213" header="0.31496062992125984" footer="0.31496062992125984"/>
  <pageSetup paperSize="9" scale="73"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Hoja35">
    <tabColor rgb="FFFFFF00"/>
    <pageSetUpPr fitToPage="1"/>
  </sheetPr>
  <dimension ref="A1:Y16"/>
  <sheetViews>
    <sheetView topLeftCell="A10" zoomScaleNormal="100" zoomScaleSheetLayoutView="70" workbookViewId="0">
      <selection activeCell="A26" sqref="A26"/>
    </sheetView>
  </sheetViews>
  <sheetFormatPr baseColWidth="10" defaultRowHeight="15" x14ac:dyDescent="0.25"/>
  <cols>
    <col min="1" max="1" width="49.7109375" style="103" bestFit="1" customWidth="1"/>
    <col min="2" max="2" width="13.5703125" style="103" customWidth="1"/>
    <col min="3" max="3" width="14.5703125" style="103" customWidth="1"/>
    <col min="4" max="22" width="11.5703125" style="103" customWidth="1"/>
  </cols>
  <sheetData>
    <row r="1" spans="1:25" x14ac:dyDescent="0.25">
      <c r="A1" s="103" t="str">
        <f>Indice!C1</f>
        <v>SALLUSTRO Y CIA. S.A.</v>
      </c>
      <c r="C1" s="122" t="s">
        <v>128</v>
      </c>
    </row>
    <row r="4" spans="1:25" ht="15.75" customHeight="1" x14ac:dyDescent="0.25">
      <c r="A4" s="239" t="s">
        <v>1067</v>
      </c>
      <c r="B4" s="216"/>
      <c r="C4" s="216"/>
      <c r="D4" s="131"/>
      <c r="E4" s="129"/>
      <c r="W4" s="103"/>
      <c r="X4" s="103"/>
      <c r="Y4" s="103"/>
    </row>
    <row r="5" spans="1:25" ht="15.75" customHeight="1" x14ac:dyDescent="0.25">
      <c r="A5" s="326" t="s">
        <v>215</v>
      </c>
      <c r="B5" s="326"/>
      <c r="C5" s="185"/>
      <c r="D5" s="131"/>
      <c r="E5" s="129"/>
      <c r="W5" s="103"/>
      <c r="X5" s="103"/>
      <c r="Y5" s="103"/>
    </row>
    <row r="6" spans="1:25" x14ac:dyDescent="0.25">
      <c r="A6" s="128"/>
      <c r="B6" s="669"/>
      <c r="C6" s="669"/>
      <c r="D6" s="131"/>
      <c r="E6" s="129"/>
      <c r="W6" s="103"/>
      <c r="X6" s="103"/>
      <c r="Y6" s="103"/>
    </row>
    <row r="7" spans="1:25" x14ac:dyDescent="0.25">
      <c r="A7" s="128"/>
      <c r="D7" s="131"/>
      <c r="E7" s="129"/>
      <c r="W7" s="103"/>
      <c r="X7" s="103"/>
      <c r="Y7" s="103"/>
    </row>
    <row r="8" spans="1:25" x14ac:dyDescent="0.25">
      <c r="A8" s="132" t="s">
        <v>142</v>
      </c>
      <c r="B8" s="306">
        <f>IFERROR(IF(Indice!B6="","2XX2",YEAR(Indice!B6)),"2XX2")</f>
        <v>2024</v>
      </c>
      <c r="C8" s="306">
        <f>+IFERROR(YEAR(Indice!B6-366),"2XX1")</f>
        <v>2023</v>
      </c>
      <c r="D8" s="131"/>
      <c r="E8" s="129"/>
      <c r="W8" s="103"/>
      <c r="X8" s="103"/>
      <c r="Y8" s="103"/>
    </row>
    <row r="9" spans="1:25" x14ac:dyDescent="0.25">
      <c r="A9" s="128" t="s">
        <v>134</v>
      </c>
      <c r="B9" s="128"/>
      <c r="C9" s="128"/>
      <c r="D9" s="131"/>
      <c r="E9" s="129"/>
      <c r="W9" s="103"/>
      <c r="X9" s="103"/>
      <c r="Y9" s="103"/>
    </row>
    <row r="10" spans="1:25" x14ac:dyDescent="0.25">
      <c r="A10" s="128"/>
      <c r="B10" s="128"/>
      <c r="C10" s="128"/>
      <c r="D10" s="131"/>
      <c r="E10" s="129"/>
      <c r="W10" s="103"/>
      <c r="X10" s="103"/>
      <c r="Y10" s="103"/>
    </row>
    <row r="11" spans="1:25" x14ac:dyDescent="0.25">
      <c r="A11" s="128"/>
      <c r="B11" s="128"/>
      <c r="C11" s="128"/>
      <c r="D11" s="131"/>
      <c r="E11" s="129"/>
      <c r="W11" s="103"/>
      <c r="X11" s="103"/>
      <c r="Y11" s="103"/>
    </row>
    <row r="12" spans="1:25" x14ac:dyDescent="0.25">
      <c r="A12" s="128"/>
      <c r="B12" s="128"/>
      <c r="C12" s="128"/>
      <c r="D12" s="131"/>
      <c r="E12" s="129"/>
      <c r="W12" s="103"/>
      <c r="X12" s="103"/>
      <c r="Y12" s="103"/>
    </row>
    <row r="13" spans="1:25" hidden="1" x14ac:dyDescent="0.25">
      <c r="A13" s="128"/>
      <c r="B13" s="128"/>
      <c r="C13" s="128"/>
      <c r="D13" s="131"/>
      <c r="E13" s="129"/>
      <c r="W13" s="103"/>
      <c r="X13" s="103"/>
      <c r="Y13" s="103"/>
    </row>
    <row r="14" spans="1:25" x14ac:dyDescent="0.25">
      <c r="A14" s="128"/>
      <c r="B14" s="130"/>
      <c r="C14" s="128"/>
      <c r="D14" s="131"/>
      <c r="E14" s="129"/>
      <c r="W14" s="103"/>
      <c r="X14" s="103"/>
      <c r="Y14" s="103"/>
    </row>
    <row r="15" spans="1:25" x14ac:dyDescent="0.25">
      <c r="A15" s="128"/>
      <c r="B15" s="130"/>
      <c r="C15" s="128"/>
      <c r="D15" s="131"/>
      <c r="E15" s="129"/>
      <c r="W15" s="103"/>
      <c r="X15" s="103"/>
      <c r="Y15" s="103"/>
    </row>
    <row r="16" spans="1:25" x14ac:dyDescent="0.25">
      <c r="A16" s="132" t="s">
        <v>2</v>
      </c>
      <c r="B16" s="133">
        <f>SUM($B9:B15)</f>
        <v>0</v>
      </c>
      <c r="C16" s="133">
        <f>SUM($C9:C15)</f>
        <v>0</v>
      </c>
      <c r="D16" s="131"/>
      <c r="E16" s="129"/>
      <c r="W16" s="103"/>
      <c r="X16" s="103"/>
      <c r="Y16" s="103"/>
    </row>
  </sheetData>
  <mergeCells count="1">
    <mergeCell ref="B6:C6"/>
  </mergeCells>
  <hyperlinks>
    <hyperlink ref="C1" location="ER!A1" display="ER" xr:uid="{00000000-0004-0000-2200-000000000000}"/>
  </hyperlink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Hoja36">
    <tabColor rgb="FFFFFF00"/>
    <pageSetUpPr fitToPage="1"/>
  </sheetPr>
  <dimension ref="A1:V17"/>
  <sheetViews>
    <sheetView topLeftCell="A7" zoomScaleNormal="100" zoomScaleSheetLayoutView="70" workbookViewId="0">
      <selection activeCell="B8" sqref="B8"/>
    </sheetView>
  </sheetViews>
  <sheetFormatPr baseColWidth="10" defaultRowHeight="15" x14ac:dyDescent="0.25"/>
  <cols>
    <col min="1" max="1" width="45.28515625" style="103" bestFit="1" customWidth="1"/>
    <col min="2" max="2" width="18.42578125" style="103" customWidth="1"/>
    <col min="3" max="3" width="17.7109375" style="103" customWidth="1"/>
    <col min="4" max="22" width="11.5703125" style="103" customWidth="1"/>
  </cols>
  <sheetData>
    <row r="1" spans="1:8" x14ac:dyDescent="0.25">
      <c r="A1" s="103" t="str">
        <f>Indice!C1</f>
        <v>SALLUSTRO Y CIA. S.A.</v>
      </c>
      <c r="C1" s="122" t="s">
        <v>128</v>
      </c>
    </row>
    <row r="4" spans="1:8" x14ac:dyDescent="0.25">
      <c r="A4" s="239" t="s">
        <v>292</v>
      </c>
      <c r="B4" s="239"/>
      <c r="C4" s="239"/>
      <c r="D4" s="239"/>
      <c r="E4" s="239"/>
      <c r="F4" s="128"/>
      <c r="G4" s="131"/>
      <c r="H4" s="129"/>
    </row>
    <row r="5" spans="1:8" x14ac:dyDescent="0.25">
      <c r="A5" s="670" t="s">
        <v>215</v>
      </c>
      <c r="B5" s="670"/>
      <c r="C5" s="129"/>
      <c r="D5" s="129"/>
      <c r="E5" s="129"/>
      <c r="F5" s="128"/>
      <c r="G5" s="131"/>
      <c r="H5" s="129"/>
    </row>
    <row r="6" spans="1:8" x14ac:dyDescent="0.25">
      <c r="A6" s="128"/>
      <c r="B6" s="669"/>
      <c r="C6" s="669"/>
      <c r="D6" s="129"/>
      <c r="E6" s="129"/>
      <c r="F6" s="128"/>
      <c r="G6" s="131"/>
      <c r="H6" s="129"/>
    </row>
    <row r="7" spans="1:8" x14ac:dyDescent="0.25">
      <c r="A7" s="128"/>
      <c r="D7" s="129"/>
      <c r="E7" s="129"/>
      <c r="F7" s="128"/>
      <c r="G7" s="131"/>
      <c r="H7" s="129"/>
    </row>
    <row r="8" spans="1:8" x14ac:dyDescent="0.25">
      <c r="A8" s="132" t="s">
        <v>143</v>
      </c>
      <c r="B8" s="306">
        <f>IFERROR(IF(Indice!B6="","2XX2",YEAR(Indice!B6)),"2XX2")</f>
        <v>2024</v>
      </c>
      <c r="C8" s="306">
        <f>+IFERROR(YEAR(Indice!B6-366),"2XX1")</f>
        <v>2023</v>
      </c>
      <c r="D8" s="129"/>
      <c r="E8" s="129"/>
      <c r="F8" s="128"/>
      <c r="G8" s="131"/>
      <c r="H8" s="129"/>
    </row>
    <row r="9" spans="1:8" x14ac:dyDescent="0.25">
      <c r="A9" s="128" t="s">
        <v>134</v>
      </c>
      <c r="B9" s="128"/>
      <c r="C9" s="128"/>
      <c r="D9" s="129"/>
      <c r="E9" s="129"/>
      <c r="F9" s="128"/>
      <c r="G9" s="131"/>
      <c r="H9" s="129"/>
    </row>
    <row r="10" spans="1:8" x14ac:dyDescent="0.25">
      <c r="A10" s="128"/>
      <c r="B10" s="128"/>
      <c r="C10" s="128"/>
      <c r="D10" s="129"/>
      <c r="E10" s="129"/>
      <c r="F10" s="128"/>
      <c r="G10" s="131"/>
      <c r="H10" s="129"/>
    </row>
    <row r="11" spans="1:8" x14ac:dyDescent="0.25">
      <c r="A11" s="128"/>
      <c r="B11" s="128"/>
      <c r="C11" s="128"/>
      <c r="D11" s="129"/>
      <c r="E11" s="129"/>
      <c r="F11" s="128"/>
      <c r="G11" s="131"/>
      <c r="H11" s="129"/>
    </row>
    <row r="12" spans="1:8" x14ac:dyDescent="0.25">
      <c r="A12" s="128"/>
      <c r="B12" s="128"/>
      <c r="C12" s="128"/>
      <c r="D12" s="129"/>
      <c r="E12" s="129"/>
      <c r="F12" s="128"/>
      <c r="G12" s="131"/>
      <c r="H12" s="129"/>
    </row>
    <row r="13" spans="1:8" x14ac:dyDescent="0.25">
      <c r="A13" s="128"/>
      <c r="B13" s="128"/>
      <c r="C13" s="128"/>
      <c r="D13" s="129"/>
      <c r="E13" s="129"/>
      <c r="F13" s="128"/>
      <c r="G13" s="131"/>
      <c r="H13" s="129"/>
    </row>
    <row r="14" spans="1:8" x14ac:dyDescent="0.25">
      <c r="A14" s="128"/>
      <c r="B14" s="130"/>
      <c r="C14" s="128"/>
      <c r="D14" s="129"/>
      <c r="E14" s="129"/>
      <c r="F14" s="128"/>
      <c r="G14" s="131"/>
      <c r="H14" s="129"/>
    </row>
    <row r="15" spans="1:8" x14ac:dyDescent="0.25">
      <c r="A15" s="128"/>
      <c r="B15" s="130"/>
      <c r="C15" s="128"/>
      <c r="D15" s="129"/>
      <c r="E15" s="129"/>
      <c r="F15" s="128"/>
      <c r="G15" s="131"/>
      <c r="H15" s="129"/>
    </row>
    <row r="16" spans="1:8" x14ac:dyDescent="0.25">
      <c r="A16" s="132" t="s">
        <v>2</v>
      </c>
      <c r="B16" s="133">
        <f>SUM($B9:B15)</f>
        <v>0</v>
      </c>
      <c r="C16" s="133">
        <f>SUM($C9:C15)</f>
        <v>0</v>
      </c>
      <c r="D16" s="129"/>
      <c r="E16" s="129"/>
      <c r="F16" s="128"/>
      <c r="G16" s="131"/>
      <c r="H16" s="129"/>
    </row>
    <row r="17" spans="1:8" x14ac:dyDescent="0.25">
      <c r="A17" s="128"/>
      <c r="B17" s="130"/>
      <c r="C17" s="129"/>
      <c r="D17" s="129"/>
      <c r="E17" s="129"/>
      <c r="F17" s="128"/>
      <c r="G17" s="131"/>
      <c r="H17" s="129"/>
    </row>
  </sheetData>
  <mergeCells count="2">
    <mergeCell ref="A5:B5"/>
    <mergeCell ref="B6:C6"/>
  </mergeCells>
  <hyperlinks>
    <hyperlink ref="C1" location="ER!A1" display="ER" xr:uid="{00000000-0004-0000-2300-000000000000}"/>
  </hyperlink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Hoja37">
    <tabColor rgb="FFFFFF00"/>
    <pageSetUpPr fitToPage="1"/>
  </sheetPr>
  <dimension ref="A1:Z11"/>
  <sheetViews>
    <sheetView topLeftCell="B13" zoomScaleNormal="100" zoomScaleSheetLayoutView="70" workbookViewId="0">
      <selection activeCell="A4" sqref="A4:E11"/>
    </sheetView>
  </sheetViews>
  <sheetFormatPr baseColWidth="10" defaultRowHeight="15" x14ac:dyDescent="0.25"/>
  <cols>
    <col min="1" max="1" width="35.7109375" style="103" bestFit="1" customWidth="1"/>
    <col min="2" max="3" width="17.28515625" style="103" customWidth="1"/>
    <col min="4" max="26" width="11.5703125" style="103" customWidth="1"/>
  </cols>
  <sheetData>
    <row r="1" spans="1:7" x14ac:dyDescent="0.25">
      <c r="A1" s="103" t="str">
        <f>Indice!C1</f>
        <v>SALLUSTRO Y CIA. S.A.</v>
      </c>
      <c r="C1" s="122" t="s">
        <v>128</v>
      </c>
    </row>
    <row r="4" spans="1:7" x14ac:dyDescent="0.25">
      <c r="A4" s="267" t="s">
        <v>294</v>
      </c>
      <c r="B4" s="267"/>
      <c r="C4" s="267"/>
      <c r="D4" s="267"/>
      <c r="E4" s="267"/>
      <c r="F4" s="128"/>
      <c r="G4" s="131"/>
    </row>
    <row r="5" spans="1:7" x14ac:dyDescent="0.25">
      <c r="A5" s="278" t="s">
        <v>197</v>
      </c>
      <c r="B5" s="130"/>
      <c r="C5" s="129"/>
      <c r="D5" s="129"/>
      <c r="E5" s="129"/>
      <c r="F5" s="128"/>
      <c r="G5" s="131"/>
    </row>
    <row r="6" spans="1:7" x14ac:dyDescent="0.25">
      <c r="A6" s="128"/>
      <c r="B6" s="669"/>
      <c r="C6" s="669"/>
      <c r="D6" s="129"/>
      <c r="E6" s="129"/>
      <c r="F6" s="128"/>
      <c r="G6" s="131"/>
    </row>
    <row r="7" spans="1:7" x14ac:dyDescent="0.25">
      <c r="B7" s="306">
        <f>IFERROR(IF(Indice!B6="","2XX2",YEAR(Indice!B6)),"2XX2")</f>
        <v>2024</v>
      </c>
      <c r="C7" s="306">
        <f>+IFERROR(YEAR(Indice!B6-366),"2XX1")</f>
        <v>2023</v>
      </c>
      <c r="D7" s="129"/>
      <c r="E7" s="129"/>
      <c r="F7" s="128"/>
      <c r="G7" s="131"/>
    </row>
    <row r="8" spans="1:7" x14ac:dyDescent="0.25">
      <c r="A8" s="132" t="s">
        <v>40</v>
      </c>
      <c r="B8" s="510">
        <v>1560107045.3800001</v>
      </c>
      <c r="C8" s="510">
        <v>1903842815.6600001</v>
      </c>
      <c r="D8" s="129"/>
      <c r="E8" s="129"/>
      <c r="F8" s="128"/>
      <c r="G8" s="131"/>
    </row>
    <row r="9" spans="1:7" x14ac:dyDescent="0.25">
      <c r="A9" s="128"/>
      <c r="B9" s="130"/>
      <c r="C9" s="130"/>
      <c r="D9" s="129"/>
      <c r="E9" s="129"/>
      <c r="F9" s="128"/>
      <c r="G9" s="131"/>
    </row>
    <row r="10" spans="1:7" x14ac:dyDescent="0.25">
      <c r="A10" s="132" t="s">
        <v>2</v>
      </c>
      <c r="B10" s="133">
        <f>SUM($B8:B9)</f>
        <v>1560107045.3800001</v>
      </c>
      <c r="C10" s="133">
        <f>SUM($C8:C9)</f>
        <v>1903842815.6600001</v>
      </c>
      <c r="D10" s="129"/>
      <c r="E10" s="129"/>
      <c r="F10" s="128"/>
      <c r="G10" s="131"/>
    </row>
    <row r="11" spans="1:7" x14ac:dyDescent="0.25">
      <c r="A11" s="128"/>
      <c r="B11" s="130"/>
      <c r="C11" s="129"/>
      <c r="D11" s="129"/>
      <c r="E11" s="129"/>
      <c r="F11" s="128"/>
      <c r="G11" s="131"/>
    </row>
  </sheetData>
  <mergeCells count="1">
    <mergeCell ref="B6:C6"/>
  </mergeCells>
  <hyperlinks>
    <hyperlink ref="C1" location="ER!A1" display="ER" xr:uid="{00000000-0004-0000-2400-000000000000}"/>
  </hyperlink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Hoja38">
    <tabColor rgb="FFFFFF00"/>
    <pageSetUpPr fitToPage="1"/>
  </sheetPr>
  <dimension ref="A1:V11"/>
  <sheetViews>
    <sheetView topLeftCell="A7" zoomScaleNormal="100" zoomScaleSheetLayoutView="70" workbookViewId="0">
      <selection activeCell="B23" sqref="B23"/>
    </sheetView>
  </sheetViews>
  <sheetFormatPr baseColWidth="10" defaultRowHeight="15" x14ac:dyDescent="0.25"/>
  <cols>
    <col min="1" max="1" width="63" style="103" bestFit="1" customWidth="1"/>
    <col min="2" max="2" width="18.42578125" style="103" customWidth="1"/>
    <col min="3" max="3" width="17.85546875" style="103" customWidth="1"/>
    <col min="4" max="22" width="11.5703125" style="103" customWidth="1"/>
  </cols>
  <sheetData>
    <row r="1" spans="1:8" x14ac:dyDescent="0.25">
      <c r="A1" s="103" t="str">
        <f>Indice!C1</f>
        <v>SALLUSTRO Y CIA. S.A.</v>
      </c>
      <c r="C1" s="122" t="s">
        <v>128</v>
      </c>
    </row>
    <row r="4" spans="1:8" x14ac:dyDescent="0.25">
      <c r="A4" s="239" t="s">
        <v>293</v>
      </c>
      <c r="B4" s="239"/>
      <c r="C4" s="239"/>
      <c r="D4" s="239"/>
      <c r="E4" s="239"/>
      <c r="F4" s="128"/>
      <c r="G4" s="131"/>
      <c r="H4" s="129"/>
    </row>
    <row r="5" spans="1:8" x14ac:dyDescent="0.25">
      <c r="A5" s="671" t="s">
        <v>197</v>
      </c>
      <c r="B5" s="671"/>
      <c r="C5" s="129"/>
      <c r="D5" s="129"/>
      <c r="E5" s="129"/>
      <c r="F5" s="128"/>
      <c r="G5" s="131"/>
      <c r="H5" s="129"/>
    </row>
    <row r="6" spans="1:8" x14ac:dyDescent="0.25">
      <c r="A6" s="128"/>
      <c r="D6" s="129"/>
      <c r="E6" s="129"/>
      <c r="F6" s="128"/>
      <c r="G6" s="131"/>
      <c r="H6" s="129"/>
    </row>
    <row r="7" spans="1:8" x14ac:dyDescent="0.25">
      <c r="B7" s="306">
        <f>IFERROR(IF(Indice!B6="","2XX2",YEAR(Indice!B6)),"2XX2")</f>
        <v>2024</v>
      </c>
      <c r="C7" s="306">
        <f>+IFERROR(YEAR(Indice!B6-366),"2XX1")</f>
        <v>2023</v>
      </c>
      <c r="D7" s="129"/>
      <c r="E7" s="129"/>
      <c r="F7" s="128"/>
      <c r="G7" s="131"/>
      <c r="H7" s="129"/>
    </row>
    <row r="8" spans="1:8" x14ac:dyDescent="0.25">
      <c r="A8" s="132" t="s">
        <v>795</v>
      </c>
      <c r="D8" s="129"/>
      <c r="E8" s="129"/>
      <c r="F8" s="128"/>
      <c r="G8" s="131"/>
      <c r="H8" s="129"/>
    </row>
    <row r="9" spans="1:8" x14ac:dyDescent="0.25">
      <c r="A9" s="279" t="s">
        <v>904</v>
      </c>
      <c r="B9" s="388">
        <v>0</v>
      </c>
      <c r="C9" s="389">
        <v>0</v>
      </c>
      <c r="D9" s="129"/>
      <c r="E9" s="129"/>
      <c r="F9" s="128"/>
      <c r="G9" s="131"/>
      <c r="H9" s="129"/>
    </row>
    <row r="10" spans="1:8" x14ac:dyDescent="0.25">
      <c r="A10" s="128" t="s">
        <v>2</v>
      </c>
      <c r="B10" s="387">
        <f>SUM($B8:B9)</f>
        <v>0</v>
      </c>
      <c r="C10" s="387">
        <f>SUM($C8:C9)</f>
        <v>0</v>
      </c>
      <c r="D10" s="129"/>
      <c r="E10" s="129"/>
      <c r="F10" s="128"/>
      <c r="G10" s="131"/>
      <c r="H10" s="129"/>
    </row>
    <row r="11" spans="1:8" x14ac:dyDescent="0.25">
      <c r="A11" s="128"/>
      <c r="B11" s="130"/>
      <c r="C11" s="129"/>
      <c r="D11" s="129"/>
      <c r="E11" s="129"/>
      <c r="F11" s="128"/>
      <c r="G11" s="131"/>
      <c r="H11" s="129"/>
    </row>
  </sheetData>
  <mergeCells count="1">
    <mergeCell ref="A5:B5"/>
  </mergeCells>
  <hyperlinks>
    <hyperlink ref="C1" location="ER!A1" display="ER" xr:uid="{00000000-0004-0000-2500-000000000000}"/>
  </hyperlinks>
  <printOptions horizontalCentered="1"/>
  <pageMargins left="0.70866141732283472" right="0.70866141732283472" top="0.74803149606299213" bottom="0.74803149606299213" header="0.31496062992125984" footer="0.31496062992125984"/>
  <pageSetup paperSize="9" scale="87"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Hoja39">
    <tabColor rgb="FFFFFF00"/>
    <pageSetUpPr fitToPage="1"/>
  </sheetPr>
  <dimension ref="A1:V13"/>
  <sheetViews>
    <sheetView zoomScaleNormal="100" zoomScaleSheetLayoutView="70" workbookViewId="0"/>
  </sheetViews>
  <sheetFormatPr baseColWidth="10" defaultRowHeight="15" x14ac:dyDescent="0.25"/>
  <cols>
    <col min="1" max="1" width="82.7109375" style="103" bestFit="1" customWidth="1"/>
    <col min="2" max="2" width="18.140625" style="103" customWidth="1"/>
    <col min="3" max="3" width="17.5703125" style="103" customWidth="1"/>
    <col min="4" max="22" width="11.5703125" style="103" customWidth="1"/>
  </cols>
  <sheetData>
    <row r="1" spans="1:8" x14ac:dyDescent="0.25">
      <c r="A1" s="103" t="str">
        <f>Indice!C1</f>
        <v>SALLUSTRO Y CIA. S.A.</v>
      </c>
      <c r="C1" s="122" t="s">
        <v>128</v>
      </c>
    </row>
    <row r="4" spans="1:8" x14ac:dyDescent="0.25">
      <c r="A4" s="239" t="s">
        <v>295</v>
      </c>
      <c r="B4" s="239"/>
      <c r="C4" s="239"/>
      <c r="D4" s="239"/>
      <c r="E4" s="239"/>
      <c r="F4" s="128"/>
      <c r="G4" s="131"/>
      <c r="H4" s="129"/>
    </row>
    <row r="5" spans="1:8" x14ac:dyDescent="0.25">
      <c r="A5" s="671" t="s">
        <v>197</v>
      </c>
      <c r="B5" s="671"/>
      <c r="C5" s="129"/>
      <c r="D5" s="129"/>
      <c r="E5" s="129"/>
      <c r="F5" s="128"/>
      <c r="G5" s="131"/>
      <c r="H5" s="129"/>
    </row>
    <row r="6" spans="1:8" x14ac:dyDescent="0.25">
      <c r="A6" s="128"/>
      <c r="D6" s="129"/>
      <c r="E6" s="129"/>
      <c r="F6" s="128"/>
      <c r="G6" s="131"/>
      <c r="H6" s="129"/>
    </row>
    <row r="7" spans="1:8" x14ac:dyDescent="0.25">
      <c r="A7" s="134" t="s">
        <v>65</v>
      </c>
      <c r="B7" s="306">
        <f>IFERROR(IF(Indice!B6="","2XX2",YEAR(Indice!B6)),"2XX2")</f>
        <v>2024</v>
      </c>
      <c r="C7" s="306">
        <f>+IFERROR(YEAR(Indice!B6-366),"2XX1")</f>
        <v>2023</v>
      </c>
      <c r="D7" s="129"/>
      <c r="E7" s="129"/>
      <c r="F7" s="128"/>
      <c r="G7" s="131"/>
      <c r="H7" s="129"/>
    </row>
    <row r="8" spans="1:8" x14ac:dyDescent="0.25">
      <c r="D8" s="129"/>
      <c r="E8" s="129"/>
      <c r="F8" s="128"/>
      <c r="G8" s="131"/>
      <c r="H8" s="129"/>
    </row>
    <row r="9" spans="1:8" x14ac:dyDescent="0.25">
      <c r="A9" s="128" t="s">
        <v>799</v>
      </c>
      <c r="B9" s="128"/>
      <c r="C9" s="128"/>
      <c r="D9" s="129"/>
      <c r="E9" s="129"/>
      <c r="F9" s="128"/>
      <c r="G9" s="131"/>
      <c r="H9" s="129"/>
    </row>
    <row r="10" spans="1:8" x14ac:dyDescent="0.25">
      <c r="A10" s="128" t="s">
        <v>53</v>
      </c>
      <c r="B10" s="128"/>
      <c r="C10" s="128"/>
      <c r="D10" s="129"/>
      <c r="E10" s="129"/>
      <c r="F10" s="128"/>
      <c r="G10" s="131"/>
      <c r="H10" s="129"/>
    </row>
    <row r="11" spans="1:8" x14ac:dyDescent="0.25">
      <c r="A11" s="201" t="s">
        <v>296</v>
      </c>
      <c r="B11" s="128">
        <v>0</v>
      </c>
      <c r="C11" s="128">
        <v>0</v>
      </c>
      <c r="D11" s="129"/>
      <c r="E11" s="129"/>
      <c r="F11" s="128"/>
      <c r="G11" s="131"/>
      <c r="H11" s="129"/>
    </row>
    <row r="12" spans="1:8" x14ac:dyDescent="0.25">
      <c r="A12" s="128" t="s">
        <v>2</v>
      </c>
      <c r="B12" s="133">
        <f>SUM($B8:B11)</f>
        <v>0</v>
      </c>
      <c r="C12" s="133">
        <f>SUM($C8:C11)</f>
        <v>0</v>
      </c>
      <c r="D12" s="129"/>
      <c r="E12" s="129"/>
      <c r="F12" s="128"/>
      <c r="G12" s="131"/>
      <c r="H12" s="129"/>
    </row>
    <row r="13" spans="1:8" x14ac:dyDescent="0.25">
      <c r="A13" s="128"/>
      <c r="B13" s="130"/>
      <c r="C13" s="129"/>
      <c r="D13" s="129"/>
      <c r="E13" s="129"/>
      <c r="F13" s="128"/>
      <c r="G13" s="131"/>
      <c r="H13" s="129"/>
    </row>
  </sheetData>
  <mergeCells count="1">
    <mergeCell ref="A5:B5"/>
  </mergeCells>
  <hyperlinks>
    <hyperlink ref="C1" location="ER!A1" display="ER" xr:uid="{00000000-0004-0000-2600-000000000000}"/>
  </hyperlinks>
  <printOptions horizontalCentered="1"/>
  <pageMargins left="0.70866141732283472" right="0.70866141732283472" top="0.74803149606299213" bottom="0.74803149606299213" header="0.31496062992125984" footer="0.31496062992125984"/>
  <pageSetup paperSize="9" scale="7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tabColor rgb="FFFFFF00"/>
    <pageSetUpPr fitToPage="1"/>
  </sheetPr>
  <dimension ref="A1:V44"/>
  <sheetViews>
    <sheetView showGridLines="0" zoomScale="90" zoomScaleNormal="90" zoomScaleSheetLayoutView="70" workbookViewId="0">
      <selection activeCell="L28" sqref="L28"/>
    </sheetView>
  </sheetViews>
  <sheetFormatPr baseColWidth="10" defaultColWidth="11.42578125" defaultRowHeight="12.75" x14ac:dyDescent="0.2"/>
  <cols>
    <col min="1" max="1" width="40.7109375" style="2" customWidth="1"/>
    <col min="2" max="2" width="0.85546875" style="2" customWidth="1"/>
    <col min="3" max="3" width="19.5703125" style="63" customWidth="1"/>
    <col min="4" max="4" width="2.5703125" style="63" hidden="1" customWidth="1"/>
    <col min="5" max="5" width="1" style="76" customWidth="1"/>
    <col min="6" max="6" width="16" style="63" customWidth="1"/>
    <col min="7" max="7" width="0.85546875" style="76" customWidth="1"/>
    <col min="8" max="8" width="18.85546875" style="63" customWidth="1"/>
    <col min="9" max="9" width="1" style="76" customWidth="1"/>
    <col min="10" max="10" width="20" style="63" customWidth="1"/>
    <col min="11" max="11" width="0.7109375" style="76" customWidth="1"/>
    <col min="12" max="12" width="18.42578125" style="63" customWidth="1"/>
    <col min="13" max="13" width="0.7109375" style="76" customWidth="1"/>
    <col min="14" max="14" width="19.7109375" style="76" customWidth="1"/>
    <col min="15" max="15" width="1.7109375" style="76" customWidth="1"/>
    <col min="16" max="16" width="19.7109375" style="63" customWidth="1"/>
    <col min="17" max="17" width="1.140625" style="52" customWidth="1"/>
    <col min="18" max="18" width="17.42578125" style="2" bestFit="1" customWidth="1"/>
    <col min="19" max="19" width="1.140625" style="2" customWidth="1"/>
    <col min="20" max="20" width="19.140625" style="2" customWidth="1"/>
    <col min="21" max="22" width="14.7109375" style="2" bestFit="1" customWidth="1"/>
    <col min="23" max="16384" width="11.42578125" style="2"/>
  </cols>
  <sheetData>
    <row r="1" spans="1:22" ht="15" x14ac:dyDescent="0.2">
      <c r="A1" s="16" t="str">
        <f>Indice!C1</f>
        <v>SALLUSTRO Y CIA. S.A.</v>
      </c>
      <c r="H1" s="255" t="s">
        <v>330</v>
      </c>
    </row>
    <row r="3" spans="1:22" x14ac:dyDescent="0.2">
      <c r="R3" s="51"/>
    </row>
    <row r="4" spans="1:22" ht="15" x14ac:dyDescent="0.25">
      <c r="B4" s="75"/>
      <c r="C4" s="75"/>
      <c r="D4" s="75"/>
      <c r="E4" s="75"/>
      <c r="F4" s="75" t="s">
        <v>800</v>
      </c>
      <c r="G4" s="75"/>
      <c r="H4" s="75"/>
      <c r="I4" s="75"/>
      <c r="J4" s="75"/>
      <c r="K4" s="75"/>
      <c r="L4" s="75"/>
      <c r="M4" s="75"/>
      <c r="N4" s="75"/>
      <c r="O4" s="75"/>
      <c r="P4" s="75"/>
      <c r="R4" s="51"/>
    </row>
    <row r="5" spans="1:22" ht="15" x14ac:dyDescent="0.25">
      <c r="A5" s="75"/>
      <c r="B5" s="75"/>
      <c r="C5" s="75"/>
      <c r="D5" s="75"/>
      <c r="E5" s="75"/>
      <c r="F5" s="75"/>
      <c r="G5" s="75"/>
      <c r="H5" s="75" t="str">
        <f>IFERROR(IF(Indice!B6="","Al dia... de mes… de año 2XX2…","Al "&amp;DAY(Indice!B6)&amp;" de "&amp;VLOOKUP(MONTH(Indice!B6),Indice!P:Q,2,0)&amp;" de "&amp;YEAR(Indice!B6)),"Al dia... de mes… de año 2XX2…")</f>
        <v>Al 31 de Diciembre de 2024</v>
      </c>
      <c r="I5" s="75"/>
      <c r="J5" s="75"/>
      <c r="K5" s="75"/>
      <c r="L5" s="75"/>
      <c r="M5" s="75"/>
      <c r="N5" s="75"/>
      <c r="O5" s="75"/>
      <c r="P5" s="75"/>
      <c r="R5" s="51"/>
    </row>
    <row r="6" spans="1:22" ht="14.25" x14ac:dyDescent="0.2">
      <c r="A6" s="604" t="s">
        <v>250</v>
      </c>
      <c r="B6" s="604"/>
      <c r="C6" s="604"/>
      <c r="D6" s="604"/>
      <c r="E6" s="604"/>
      <c r="F6" s="604"/>
      <c r="G6" s="604"/>
      <c r="H6" s="604"/>
      <c r="I6" s="604"/>
      <c r="J6" s="604"/>
      <c r="K6" s="604"/>
      <c r="L6" s="604"/>
      <c r="M6" s="604"/>
      <c r="N6" s="604"/>
      <c r="O6" s="604"/>
      <c r="P6" s="604"/>
      <c r="R6" s="51"/>
    </row>
    <row r="7" spans="1:22" ht="14.25" x14ac:dyDescent="0.2">
      <c r="A7" s="604" t="s">
        <v>228</v>
      </c>
      <c r="B7" s="604"/>
      <c r="C7" s="604"/>
      <c r="D7" s="604"/>
      <c r="E7" s="604"/>
      <c r="F7" s="604"/>
      <c r="G7" s="604"/>
      <c r="H7" s="604"/>
      <c r="I7" s="604"/>
      <c r="J7" s="604"/>
      <c r="K7" s="604"/>
      <c r="L7" s="604"/>
      <c r="M7" s="604"/>
      <c r="N7" s="604"/>
      <c r="O7" s="604"/>
      <c r="P7" s="604"/>
      <c r="R7" s="51"/>
    </row>
    <row r="8" spans="1:22" ht="14.25" x14ac:dyDescent="0.2">
      <c r="A8" s="182"/>
      <c r="B8" s="182"/>
      <c r="C8" s="182"/>
      <c r="D8" s="182"/>
      <c r="E8" s="182"/>
      <c r="F8" s="182"/>
      <c r="G8" s="182"/>
      <c r="H8" s="182"/>
      <c r="I8" s="182"/>
      <c r="J8" s="182"/>
      <c r="K8" s="182"/>
      <c r="L8" s="182"/>
      <c r="M8" s="182"/>
      <c r="N8" s="182"/>
      <c r="O8" s="182"/>
      <c r="P8" s="182"/>
      <c r="R8" s="51"/>
    </row>
    <row r="9" spans="1:22" ht="14.25" x14ac:dyDescent="0.2">
      <c r="A9" s="182"/>
      <c r="B9" s="182"/>
      <c r="C9" s="182"/>
      <c r="D9" s="182"/>
      <c r="E9" s="182"/>
      <c r="F9" s="182"/>
      <c r="G9" s="182"/>
      <c r="H9" s="182"/>
      <c r="I9" s="182"/>
      <c r="J9" s="182"/>
      <c r="K9" s="182"/>
      <c r="L9" s="182"/>
      <c r="M9" s="182"/>
      <c r="N9" s="182"/>
      <c r="O9" s="182"/>
      <c r="P9" s="182"/>
      <c r="R9" s="51"/>
    </row>
    <row r="10" spans="1:22" ht="25.5" customHeight="1" x14ac:dyDescent="0.2">
      <c r="A10" s="77"/>
      <c r="B10" s="77"/>
      <c r="C10" s="601" t="s">
        <v>234</v>
      </c>
      <c r="D10" s="601"/>
      <c r="E10" s="601"/>
      <c r="F10" s="601"/>
      <c r="G10" s="77"/>
      <c r="H10" s="77"/>
      <c r="I10" s="77"/>
      <c r="J10" s="77"/>
      <c r="K10" s="77"/>
      <c r="L10" s="601" t="s">
        <v>366</v>
      </c>
      <c r="M10" s="601"/>
      <c r="N10" s="601"/>
      <c r="O10" s="601"/>
      <c r="P10" s="601"/>
      <c r="R10" s="51"/>
    </row>
    <row r="11" spans="1:22" ht="15" customHeight="1" x14ac:dyDescent="0.2">
      <c r="A11" s="605"/>
      <c r="C11" s="602" t="s">
        <v>69</v>
      </c>
      <c r="D11" s="64" t="s">
        <v>41</v>
      </c>
      <c r="E11" s="78"/>
      <c r="F11" s="602" t="s">
        <v>70</v>
      </c>
      <c r="G11" s="78"/>
      <c r="H11" s="602" t="s">
        <v>37</v>
      </c>
      <c r="I11" s="78"/>
      <c r="J11" s="602" t="s">
        <v>71</v>
      </c>
      <c r="K11" s="78"/>
      <c r="L11" s="602" t="s">
        <v>72</v>
      </c>
      <c r="M11" s="78"/>
      <c r="N11" s="602" t="s">
        <v>73</v>
      </c>
      <c r="O11" s="78"/>
      <c r="P11" s="602" t="s">
        <v>38</v>
      </c>
      <c r="R11" s="602" t="s">
        <v>74</v>
      </c>
      <c r="S11" s="78"/>
      <c r="T11" s="602" t="s">
        <v>2</v>
      </c>
    </row>
    <row r="12" spans="1:22" ht="15.75" customHeight="1" x14ac:dyDescent="0.2">
      <c r="A12" s="605"/>
      <c r="C12" s="603"/>
      <c r="D12" s="64" t="s">
        <v>42</v>
      </c>
      <c r="E12" s="78"/>
      <c r="F12" s="603"/>
      <c r="G12" s="78"/>
      <c r="H12" s="603"/>
      <c r="I12" s="78"/>
      <c r="J12" s="603"/>
      <c r="K12" s="78"/>
      <c r="L12" s="603"/>
      <c r="M12" s="78"/>
      <c r="N12" s="603"/>
      <c r="O12" s="78"/>
      <c r="P12" s="603"/>
      <c r="R12" s="603"/>
      <c r="S12" s="78"/>
      <c r="T12" s="603"/>
    </row>
    <row r="13" spans="1:22" ht="8.1" customHeight="1" x14ac:dyDescent="0.2">
      <c r="R13" s="51"/>
    </row>
    <row r="14" spans="1:22" x14ac:dyDescent="0.2">
      <c r="A14" s="87" t="str">
        <f>IFERROR(IF(Indice!B6="","Saldo al .. de  de 20X0 ","Saldo al "&amp;DAY(Indice!B6)&amp;" de "&amp;VLOOKUP(MONTH(Indice!B6),Indice!P:Q,2,0)&amp;" de "&amp;YEAR(Indice!B6-731)),"Saldo al .. de  de 20X0 ")</f>
        <v>Saldo al 31 de Diciembre de 2022</v>
      </c>
      <c r="B14" s="27"/>
      <c r="C14" s="88">
        <v>68000000000</v>
      </c>
      <c r="D14" s="63">
        <v>0</v>
      </c>
      <c r="F14" s="88">
        <v>0</v>
      </c>
      <c r="G14" s="76">
        <v>0</v>
      </c>
      <c r="H14" s="88">
        <v>3642207544.3299999</v>
      </c>
      <c r="J14" s="88">
        <v>169942447</v>
      </c>
      <c r="L14" s="88">
        <v>2565054114.9700003</v>
      </c>
      <c r="N14" s="88">
        <v>4930798069.6099997</v>
      </c>
      <c r="P14" s="88">
        <v>13937051059.540001</v>
      </c>
      <c r="R14" s="88">
        <v>0</v>
      </c>
      <c r="S14" s="52"/>
      <c r="T14" s="88">
        <v>93245053235.449997</v>
      </c>
      <c r="U14" s="415">
        <v>32535752011.348</v>
      </c>
      <c r="V14" s="47"/>
    </row>
    <row r="15" spans="1:22" x14ac:dyDescent="0.2">
      <c r="A15" s="2" t="s">
        <v>367</v>
      </c>
      <c r="N15" s="63"/>
      <c r="R15" s="63"/>
      <c r="S15" s="52"/>
      <c r="T15" s="63"/>
      <c r="U15" s="52"/>
    </row>
    <row r="16" spans="1:22" x14ac:dyDescent="0.2">
      <c r="A16" s="87" t="s">
        <v>68</v>
      </c>
      <c r="C16" s="88">
        <f>+C14</f>
        <v>68000000000</v>
      </c>
      <c r="F16" s="88">
        <f>+F14</f>
        <v>0</v>
      </c>
      <c r="G16" s="88">
        <f t="shared" ref="G16:P16" si="0">+G14</f>
        <v>0</v>
      </c>
      <c r="H16" s="88">
        <f t="shared" si="0"/>
        <v>3642207544.3299999</v>
      </c>
      <c r="I16" s="88">
        <f t="shared" si="0"/>
        <v>0</v>
      </c>
      <c r="J16" s="88">
        <f t="shared" si="0"/>
        <v>169942447</v>
      </c>
      <c r="K16" s="88">
        <f t="shared" si="0"/>
        <v>0</v>
      </c>
      <c r="L16" s="88">
        <f t="shared" si="0"/>
        <v>2565054114.9700003</v>
      </c>
      <c r="M16" s="88">
        <f t="shared" si="0"/>
        <v>0</v>
      </c>
      <c r="N16" s="88">
        <f>+N14</f>
        <v>4930798069.6099997</v>
      </c>
      <c r="O16" s="88">
        <f t="shared" si="0"/>
        <v>0</v>
      </c>
      <c r="P16" s="88">
        <f t="shared" si="0"/>
        <v>13937051059.540001</v>
      </c>
      <c r="R16" s="88"/>
      <c r="S16" s="52"/>
      <c r="T16" s="88">
        <f>SUM(C16:S16)</f>
        <v>93245053235.450012</v>
      </c>
      <c r="U16" s="52"/>
    </row>
    <row r="17" spans="1:22" ht="25.5" x14ac:dyDescent="0.2">
      <c r="A17" s="99" t="s">
        <v>1196</v>
      </c>
      <c r="C17" s="63">
        <v>0</v>
      </c>
      <c r="N17" s="55">
        <v>13937051059.34</v>
      </c>
      <c r="P17" s="63">
        <v>-13937051059.34</v>
      </c>
      <c r="R17" s="57"/>
      <c r="S17" s="47"/>
      <c r="T17" s="47">
        <f>SUM(C17:R17)</f>
        <v>0</v>
      </c>
    </row>
    <row r="18" spans="1:22" x14ac:dyDescent="0.2">
      <c r="A18" s="87" t="s">
        <v>75</v>
      </c>
      <c r="C18" s="88"/>
      <c r="F18" s="88"/>
      <c r="H18" s="88"/>
      <c r="J18" s="88"/>
      <c r="L18" s="88"/>
      <c r="N18" s="88"/>
      <c r="P18" s="88"/>
      <c r="R18" s="88"/>
      <c r="S18" s="52"/>
      <c r="T18" s="88">
        <f>SUM(C18:R18)</f>
        <v>0</v>
      </c>
    </row>
    <row r="19" spans="1:22" x14ac:dyDescent="0.2">
      <c r="A19" s="99" t="s">
        <v>1136</v>
      </c>
      <c r="C19" s="373">
        <v>0</v>
      </c>
      <c r="H19" s="55"/>
      <c r="L19" s="55"/>
      <c r="N19" s="63"/>
      <c r="P19" s="55"/>
      <c r="Q19" s="56"/>
      <c r="R19" s="51"/>
      <c r="T19" s="51"/>
    </row>
    <row r="20" spans="1:22" x14ac:dyDescent="0.2">
      <c r="A20" s="87" t="s">
        <v>76</v>
      </c>
      <c r="C20" s="88"/>
      <c r="F20" s="88"/>
      <c r="H20" s="88"/>
      <c r="J20" s="88"/>
      <c r="L20" s="88"/>
      <c r="N20" s="88"/>
      <c r="P20" s="88"/>
      <c r="R20" s="88"/>
      <c r="S20" s="52"/>
      <c r="T20" s="88">
        <f>SUM(C20:R20)</f>
        <v>0</v>
      </c>
    </row>
    <row r="21" spans="1:22" x14ac:dyDescent="0.2">
      <c r="A21" s="87" t="s">
        <v>77</v>
      </c>
      <c r="C21" s="88"/>
      <c r="F21" s="88"/>
      <c r="H21" s="88"/>
      <c r="J21" s="88"/>
      <c r="L21" s="88"/>
      <c r="N21" s="88"/>
      <c r="P21" s="88"/>
      <c r="R21" s="88"/>
      <c r="S21" s="52"/>
      <c r="T21" s="88">
        <f>SUM(C21:R21)</f>
        <v>0</v>
      </c>
    </row>
    <row r="22" spans="1:22" x14ac:dyDescent="0.2">
      <c r="A22" s="87" t="s">
        <v>78</v>
      </c>
      <c r="C22" s="88">
        <v>0</v>
      </c>
      <c r="F22" s="88">
        <v>0</v>
      </c>
      <c r="H22" s="88">
        <v>0</v>
      </c>
      <c r="J22" s="88"/>
      <c r="L22" s="88">
        <v>660440718.75</v>
      </c>
      <c r="M22" s="88"/>
      <c r="N22" s="88"/>
      <c r="O22" s="88"/>
      <c r="P22" s="88">
        <v>12548373656</v>
      </c>
      <c r="R22" s="88"/>
      <c r="S22" s="52"/>
      <c r="T22" s="88">
        <v>13208814374.75</v>
      </c>
    </row>
    <row r="23" spans="1:22" x14ac:dyDescent="0.2">
      <c r="H23" s="56"/>
      <c r="N23" s="63"/>
      <c r="R23" s="51"/>
    </row>
    <row r="24" spans="1:22" x14ac:dyDescent="0.2">
      <c r="A24" s="87" t="str">
        <f>IFERROR(IF(Indice!B6="","Saldo al .. de  de 20X1 ","Saldo al "&amp;DAY(Indice!B6)&amp;" de "&amp;VLOOKUP(MONTH(Indice!B6),Indice!P:Q,2,0)&amp;" de "&amp;YEAR(Indice!B6-366)),"Saldo al .. de  de 20X1 ")</f>
        <v>Saldo al 31 de Diciembre de 2023</v>
      </c>
      <c r="B24" s="27"/>
      <c r="C24" s="89">
        <f>C16+C17+C18+C19+C20+C21+C22</f>
        <v>68000000000</v>
      </c>
      <c r="D24" s="89">
        <f>SUM(D14:D22)</f>
        <v>0</v>
      </c>
      <c r="E24" s="89"/>
      <c r="F24" s="89">
        <f>F16+F17+F18+F19+F20+F21+F22</f>
        <v>0</v>
      </c>
      <c r="G24" s="89">
        <f>SUM(G14:G23)</f>
        <v>0</v>
      </c>
      <c r="H24" s="89">
        <f>H16+H17+H18+H19+H20+H21+H22</f>
        <v>3642207544.3299999</v>
      </c>
      <c r="I24" s="89"/>
      <c r="J24" s="89">
        <f>J16+J17+J18+J19+J20+J21+J22</f>
        <v>169942447</v>
      </c>
      <c r="K24" s="89"/>
      <c r="L24" s="89">
        <f>L16+L17+L18+L19+L20+L21+L22</f>
        <v>3225494833.7200003</v>
      </c>
      <c r="M24" s="79"/>
      <c r="N24" s="89">
        <f>N16+N17+N18+N19+N20+N21+N22</f>
        <v>18867849128.950001</v>
      </c>
      <c r="O24" s="79"/>
      <c r="P24" s="89">
        <f>P16+P17+P18+P19+P20+P21+P22</f>
        <v>12548373656.200001</v>
      </c>
      <c r="Q24" s="56"/>
      <c r="R24" s="89">
        <f>R16+R17+R18+R19+R20+R21+R22</f>
        <v>0</v>
      </c>
      <c r="S24" s="56"/>
      <c r="T24" s="89">
        <f>T16+T17+T18+T19+T20+T21+T22</f>
        <v>106453867610.20001</v>
      </c>
      <c r="U24" s="433"/>
      <c r="V24" s="47"/>
    </row>
    <row r="25" spans="1:22" ht="38.25" x14ac:dyDescent="0.2">
      <c r="A25" s="99" t="s">
        <v>1223</v>
      </c>
      <c r="C25" s="63">
        <v>0</v>
      </c>
      <c r="N25" s="55">
        <f>10364340664-3804347827</f>
        <v>6559992837</v>
      </c>
      <c r="P25" s="63">
        <v>-12548373656</v>
      </c>
      <c r="R25" s="57"/>
      <c r="S25" s="47"/>
      <c r="T25" s="47">
        <f>SUM(C25:R25)</f>
        <v>-5988380819</v>
      </c>
    </row>
    <row r="26" spans="1:22" x14ac:dyDescent="0.2">
      <c r="A26" s="87" t="s">
        <v>76</v>
      </c>
      <c r="B26" s="62"/>
      <c r="C26" s="88"/>
      <c r="F26" s="88"/>
      <c r="H26" s="88"/>
      <c r="J26" s="88"/>
      <c r="L26" s="88"/>
      <c r="N26" s="88"/>
      <c r="P26" s="88"/>
      <c r="R26" s="88"/>
      <c r="S26" s="52"/>
      <c r="T26" s="88">
        <f>SUM(C26:S26)</f>
        <v>0</v>
      </c>
    </row>
    <row r="27" spans="1:22" x14ac:dyDescent="0.2">
      <c r="A27" s="62" t="s">
        <v>79</v>
      </c>
      <c r="B27" s="62"/>
      <c r="L27" s="55"/>
      <c r="N27" s="63"/>
      <c r="S27" s="63"/>
    </row>
    <row r="28" spans="1:22" x14ac:dyDescent="0.2">
      <c r="A28" s="87" t="s">
        <v>78</v>
      </c>
      <c r="C28" s="88">
        <v>0</v>
      </c>
      <c r="F28" s="88">
        <v>0</v>
      </c>
      <c r="H28" s="88">
        <v>0</v>
      </c>
      <c r="J28" s="88"/>
      <c r="L28" s="88">
        <v>490419936.94999999</v>
      </c>
      <c r="M28" s="88"/>
      <c r="N28" s="88"/>
      <c r="O28" s="88"/>
      <c r="P28" s="88">
        <v>9298996768.2800007</v>
      </c>
      <c r="R28" s="88"/>
      <c r="S28" s="52"/>
      <c r="T28" s="88">
        <f>SUM(C28:R28)</f>
        <v>9789416705.2300014</v>
      </c>
    </row>
    <row r="29" spans="1:22" x14ac:dyDescent="0.2">
      <c r="N29" s="63"/>
      <c r="R29" s="51"/>
    </row>
    <row r="30" spans="1:22" ht="13.5" thickBot="1" x14ac:dyDescent="0.25">
      <c r="A30" s="87" t="str">
        <f>IFERROR(IF(Indice!B6="","Saldo al .. de  de 20X2 ","Saldo al "&amp;DAY(Indice!B6)&amp;" de "&amp;VLOOKUP(MONTH(Indice!B6),Indice!P:Q,2,0)&amp;" de "&amp;YEAR(Indice!B6)),"Saldo al .. de  de 20X2 ")</f>
        <v>Saldo al 31 de Diciembre de 2024</v>
      </c>
      <c r="B30" s="27"/>
      <c r="C30" s="89">
        <f>C24+C25+C26+C27+C28</f>
        <v>68000000000</v>
      </c>
      <c r="D30" s="53">
        <f>SUM(D24:D28)</f>
        <v>0</v>
      </c>
      <c r="E30" s="80"/>
      <c r="F30" s="89">
        <f>F24+F25+F26+F27+F28</f>
        <v>0</v>
      </c>
      <c r="G30" s="80"/>
      <c r="H30" s="89">
        <f>H24+H25+H26+H27+H28</f>
        <v>3642207544.3299999</v>
      </c>
      <c r="I30" s="80"/>
      <c r="J30" s="89">
        <f>J24+J25+J26+J27+J28</f>
        <v>169942447</v>
      </c>
      <c r="K30" s="80"/>
      <c r="L30" s="89">
        <f>L24+L25+L26+L27+L28</f>
        <v>3715914770.6700001</v>
      </c>
      <c r="M30" s="80"/>
      <c r="N30" s="89">
        <f>N24+N25+N26+N27+N28</f>
        <v>25427841965.950001</v>
      </c>
      <c r="O30" s="80"/>
      <c r="P30" s="89">
        <f>P24+P25+P26+P27+P28</f>
        <v>9298996768.4800014</v>
      </c>
      <c r="R30" s="89">
        <f>R24+R25+R26+R27+R28</f>
        <v>0</v>
      </c>
      <c r="S30" s="56"/>
      <c r="T30" s="556">
        <f>T24+T25+T26+T27+T28</f>
        <v>110254903496.43001</v>
      </c>
      <c r="U30" s="433"/>
    </row>
    <row r="31" spans="1:22" ht="13.5" thickTop="1" x14ac:dyDescent="0.2">
      <c r="A31" s="27"/>
      <c r="B31" s="27"/>
      <c r="C31" s="59"/>
      <c r="D31" s="58"/>
      <c r="E31" s="80"/>
      <c r="F31" s="59"/>
      <c r="G31" s="80"/>
      <c r="H31" s="59"/>
      <c r="I31" s="80"/>
      <c r="J31" s="59"/>
      <c r="K31" s="80"/>
      <c r="L31" s="446"/>
      <c r="M31" s="80"/>
      <c r="N31" s="445"/>
      <c r="O31" s="80"/>
      <c r="P31" s="446"/>
      <c r="R31" s="54"/>
      <c r="T31" s="430"/>
    </row>
    <row r="32" spans="1:22" x14ac:dyDescent="0.2">
      <c r="A32" s="2" t="s">
        <v>355</v>
      </c>
      <c r="C32" s="56"/>
      <c r="D32" s="56"/>
      <c r="E32" s="81"/>
      <c r="F32" s="56"/>
      <c r="G32" s="81"/>
      <c r="H32" s="2"/>
      <c r="I32" s="2"/>
      <c r="K32" s="81"/>
      <c r="L32" s="56"/>
      <c r="M32" s="81"/>
      <c r="N32" s="81"/>
      <c r="O32" s="81"/>
      <c r="P32" s="56"/>
      <c r="T32" s="402"/>
    </row>
    <row r="33" spans="1:21" hidden="1" x14ac:dyDescent="0.2">
      <c r="C33" s="540">
        <f>+BG!F48-EVPN!C30</f>
        <v>0</v>
      </c>
      <c r="D33" s="540"/>
      <c r="E33" s="539"/>
      <c r="F33" s="540"/>
      <c r="G33" s="539"/>
      <c r="H33" s="402">
        <f>+H30+J30-BG!F49</f>
        <v>0.32999992370605469</v>
      </c>
      <c r="I33" s="402"/>
      <c r="J33" s="538"/>
      <c r="K33" s="539"/>
      <c r="L33" s="540">
        <f>+L30-BG!F50</f>
        <v>0</v>
      </c>
      <c r="M33" s="539"/>
      <c r="N33" s="539">
        <f>+N30-BG!F52</f>
        <v>-0.25999832153320313</v>
      </c>
      <c r="O33" s="539"/>
      <c r="P33" s="540">
        <f>+P30-BG!F54</f>
        <v>-18982033.63999939</v>
      </c>
      <c r="Q33" s="537"/>
      <c r="R33" s="402"/>
      <c r="S33" s="402"/>
      <c r="T33" s="402"/>
    </row>
    <row r="34" spans="1:21" x14ac:dyDescent="0.2">
      <c r="C34" s="480"/>
      <c r="D34" s="480"/>
      <c r="E34" s="480"/>
      <c r="F34" s="480"/>
      <c r="G34" s="480"/>
      <c r="H34" s="480"/>
      <c r="I34" s="480"/>
      <c r="J34" s="480"/>
      <c r="K34" s="480"/>
      <c r="L34" s="480"/>
      <c r="M34" s="480"/>
      <c r="N34" s="480"/>
      <c r="O34" s="480"/>
      <c r="P34" s="480"/>
      <c r="Q34" s="480"/>
      <c r="R34" s="480"/>
      <c r="S34" s="480"/>
      <c r="T34" s="480"/>
      <c r="U34" s="56">
        <f>+U30-U33</f>
        <v>0</v>
      </c>
    </row>
    <row r="35" spans="1:21" x14ac:dyDescent="0.2">
      <c r="C35" s="56"/>
      <c r="D35" s="56"/>
      <c r="E35" s="81"/>
      <c r="F35" s="56"/>
      <c r="G35" s="81"/>
      <c r="H35" s="2"/>
      <c r="I35" s="2"/>
      <c r="K35" s="81"/>
      <c r="L35" s="56"/>
      <c r="M35" s="81"/>
      <c r="N35" s="56"/>
      <c r="O35" s="81"/>
      <c r="T35" s="47"/>
    </row>
    <row r="36" spans="1:21" x14ac:dyDescent="0.2">
      <c r="A36" s="413"/>
      <c r="B36" s="461"/>
      <c r="D36" s="76"/>
      <c r="F36" s="461"/>
      <c r="J36" s="458"/>
      <c r="K36" s="413"/>
      <c r="M36" s="413"/>
      <c r="N36" s="458"/>
      <c r="O36" s="413"/>
      <c r="R36" s="412"/>
      <c r="S36" s="461"/>
      <c r="T36" s="412"/>
    </row>
    <row r="37" spans="1:21" x14ac:dyDescent="0.2">
      <c r="A37" s="413"/>
      <c r="B37" s="461"/>
      <c r="D37" s="76"/>
      <c r="F37" s="461"/>
      <c r="J37" s="458"/>
      <c r="K37" s="413"/>
      <c r="M37" s="413"/>
      <c r="N37" s="458"/>
      <c r="O37" s="413"/>
      <c r="R37" s="412"/>
      <c r="S37" s="461"/>
      <c r="T37" s="412"/>
    </row>
    <row r="38" spans="1:21" x14ac:dyDescent="0.2">
      <c r="D38" s="56"/>
      <c r="E38" s="81"/>
      <c r="F38" s="56"/>
      <c r="G38" s="81"/>
      <c r="H38" s="412"/>
      <c r="I38" s="412"/>
      <c r="J38" s="412"/>
      <c r="K38" s="412"/>
      <c r="L38" s="412"/>
      <c r="M38" s="412"/>
      <c r="N38" s="412"/>
      <c r="O38" s="412"/>
      <c r="P38" s="412"/>
      <c r="R38" s="412"/>
      <c r="S38" s="461"/>
      <c r="T38" s="412"/>
    </row>
    <row r="39" spans="1:21" x14ac:dyDescent="0.2">
      <c r="H39" s="412"/>
      <c r="I39" s="412"/>
      <c r="J39" s="412"/>
      <c r="K39" s="412"/>
      <c r="L39" s="412"/>
      <c r="M39" s="412"/>
      <c r="N39" s="412"/>
      <c r="O39" s="412"/>
      <c r="P39" s="412"/>
    </row>
    <row r="40" spans="1:21" x14ac:dyDescent="0.2">
      <c r="C40" s="56"/>
      <c r="D40" s="56"/>
      <c r="E40" s="81"/>
      <c r="F40" s="56"/>
      <c r="G40" s="81"/>
      <c r="H40" s="412"/>
      <c r="I40" s="412"/>
      <c r="J40" s="412"/>
      <c r="K40" s="412"/>
      <c r="L40" s="412"/>
      <c r="M40" s="412"/>
      <c r="N40" s="412"/>
      <c r="O40" s="412"/>
      <c r="P40" s="412"/>
    </row>
    <row r="41" spans="1:21" x14ac:dyDescent="0.2">
      <c r="F41" s="56"/>
      <c r="H41" s="412"/>
      <c r="I41" s="412"/>
      <c r="J41" s="412"/>
      <c r="K41" s="412"/>
      <c r="L41" s="412"/>
      <c r="M41" s="412"/>
      <c r="N41" s="412"/>
      <c r="O41" s="412"/>
      <c r="P41" s="412"/>
    </row>
    <row r="42" spans="1:21" x14ac:dyDescent="0.2">
      <c r="H42" s="412"/>
      <c r="I42" s="412"/>
      <c r="M42" s="412"/>
      <c r="N42" s="412"/>
      <c r="O42" s="412"/>
      <c r="P42" s="463"/>
    </row>
    <row r="43" spans="1:21" x14ac:dyDescent="0.2">
      <c r="H43" s="412"/>
      <c r="I43" s="412"/>
      <c r="M43" s="412"/>
      <c r="N43" s="412"/>
      <c r="O43" s="412"/>
      <c r="P43" s="412"/>
    </row>
    <row r="44" spans="1:21" x14ac:dyDescent="0.2">
      <c r="H44" s="412"/>
      <c r="I44" s="412"/>
      <c r="M44" s="412"/>
      <c r="N44" s="412"/>
      <c r="O44" s="412"/>
      <c r="P44" s="412"/>
    </row>
  </sheetData>
  <mergeCells count="14">
    <mergeCell ref="C10:F10"/>
    <mergeCell ref="L10:P10"/>
    <mergeCell ref="R11:R12"/>
    <mergeCell ref="T11:T12"/>
    <mergeCell ref="A6:P6"/>
    <mergeCell ref="A7:P7"/>
    <mergeCell ref="C11:C12"/>
    <mergeCell ref="F11:F12"/>
    <mergeCell ref="H11:H12"/>
    <mergeCell ref="J11:J12"/>
    <mergeCell ref="L11:L12"/>
    <mergeCell ref="N11:N12"/>
    <mergeCell ref="P11:P12"/>
    <mergeCell ref="A11:A12"/>
  </mergeCells>
  <hyperlinks>
    <hyperlink ref="H1" location="Indice!A1" display="Indice" xr:uid="{00000000-0004-0000-0300-000000000000}"/>
  </hyperlinks>
  <printOptions horizontalCentered="1"/>
  <pageMargins left="0.70866141732283472" right="0.70866141732283472" top="0.74803149606299213" bottom="0.74803149606299213" header="0.31496062992125984" footer="0.31496062992125984"/>
  <pageSetup paperSize="9" scale="56"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Hoja40">
    <tabColor rgb="FFFFFF00"/>
    <pageSetUpPr fitToPage="1"/>
  </sheetPr>
  <dimension ref="A1:H13"/>
  <sheetViews>
    <sheetView topLeftCell="A7" zoomScaleNormal="100" zoomScaleSheetLayoutView="70" workbookViewId="0">
      <selection activeCell="A10" sqref="A10"/>
    </sheetView>
  </sheetViews>
  <sheetFormatPr baseColWidth="10" defaultColWidth="11.42578125" defaultRowHeight="15" x14ac:dyDescent="0.25"/>
  <cols>
    <col min="1" max="1" width="42.140625" style="103" customWidth="1"/>
    <col min="2" max="3" width="24.42578125" style="103" customWidth="1"/>
    <col min="4" max="8" width="11.42578125" style="103"/>
  </cols>
  <sheetData>
    <row r="1" spans="1:3" x14ac:dyDescent="0.25">
      <c r="A1" s="103" t="str">
        <f>Indice!C1</f>
        <v>SALLUSTRO Y CIA. S.A.</v>
      </c>
      <c r="C1" s="122" t="s">
        <v>128</v>
      </c>
    </row>
    <row r="2" spans="1:3" x14ac:dyDescent="0.25">
      <c r="C2" s="111"/>
    </row>
    <row r="4" spans="1:3" x14ac:dyDescent="0.25">
      <c r="A4" s="216" t="s">
        <v>297</v>
      </c>
      <c r="B4" s="216"/>
      <c r="C4" s="216"/>
    </row>
    <row r="5" spans="1:3" ht="27" customHeight="1" x14ac:dyDescent="0.25">
      <c r="A5" s="348" t="s">
        <v>169</v>
      </c>
      <c r="B5" s="281"/>
      <c r="C5" s="281"/>
    </row>
    <row r="6" spans="1:3" ht="15" customHeight="1" x14ac:dyDescent="0.25">
      <c r="B6" s="202"/>
    </row>
    <row r="7" spans="1:3" ht="15" customHeight="1" x14ac:dyDescent="0.25">
      <c r="B7" s="306">
        <f>IFERROR(IF(Indice!B6="","2XX2",YEAR(Indice!B6)),"2XX2")</f>
        <v>2024</v>
      </c>
      <c r="C7" s="306">
        <f>+IFERROR(YEAR(Indice!B6-366),"2XX1")</f>
        <v>2023</v>
      </c>
    </row>
    <row r="8" spans="1:3" s="103" customFormat="1" ht="15" customHeight="1" x14ac:dyDescent="0.25">
      <c r="A8" s="149" t="s">
        <v>797</v>
      </c>
      <c r="B8" s="282">
        <v>0</v>
      </c>
      <c r="C8" s="282">
        <v>0</v>
      </c>
    </row>
    <row r="9" spans="1:3" ht="15" customHeight="1" x14ac:dyDescent="0.25">
      <c r="A9" t="s">
        <v>796</v>
      </c>
      <c r="B9" s="283">
        <v>0</v>
      </c>
      <c r="C9" s="283">
        <v>0</v>
      </c>
    </row>
    <row r="10" spans="1:3" ht="15" customHeight="1" x14ac:dyDescent="0.25">
      <c r="A10" s="284" t="s">
        <v>798</v>
      </c>
      <c r="B10" s="285">
        <f>IFERROR(B9/B8,0)</f>
        <v>0</v>
      </c>
      <c r="C10" s="285">
        <f>IFERROR(C9/C8,0)</f>
        <v>0</v>
      </c>
    </row>
    <row r="11" spans="1:3" ht="15" customHeight="1" x14ac:dyDescent="0.25"/>
    <row r="12" spans="1:3" ht="15" customHeight="1" x14ac:dyDescent="0.25">
      <c r="A12" s="280"/>
      <c r="B12" s="280"/>
      <c r="C12" s="280"/>
    </row>
    <row r="13" spans="1:3" ht="15" customHeight="1" x14ac:dyDescent="0.25"/>
  </sheetData>
  <hyperlinks>
    <hyperlink ref="C1" location="ER!A1" display="ER" xr:uid="{00000000-0004-0000-2700-000000000000}"/>
  </hyperlink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Hoja41">
    <tabColor rgb="FFFFFF00"/>
    <pageSetUpPr fitToPage="1"/>
  </sheetPr>
  <dimension ref="A1:J60"/>
  <sheetViews>
    <sheetView showGridLines="0" topLeftCell="A7" zoomScaleNormal="100" zoomScaleSheetLayoutView="70" workbookViewId="0">
      <selection activeCell="A15" sqref="A15"/>
    </sheetView>
  </sheetViews>
  <sheetFormatPr baseColWidth="10" defaultRowHeight="15" x14ac:dyDescent="0.25"/>
  <cols>
    <col min="1" max="3" width="24.42578125" style="103" customWidth="1"/>
    <col min="4" max="4" width="27.140625" style="103" customWidth="1"/>
    <col min="5" max="5" width="24.42578125" style="103" customWidth="1"/>
    <col min="6" max="10" width="11.5703125" style="103" customWidth="1"/>
  </cols>
  <sheetData>
    <row r="1" spans="1:10" x14ac:dyDescent="0.25">
      <c r="A1" s="103" t="str">
        <f>Indice!C1</f>
        <v>SALLUSTRO Y CIA. S.A.</v>
      </c>
      <c r="E1" s="122" t="s">
        <v>330</v>
      </c>
    </row>
    <row r="2" spans="1:10" x14ac:dyDescent="0.25">
      <c r="C2" s="111"/>
    </row>
    <row r="4" spans="1:10" x14ac:dyDescent="0.25">
      <c r="A4" s="651" t="s">
        <v>329</v>
      </c>
      <c r="B4" s="651"/>
      <c r="C4" s="651"/>
      <c r="D4" s="651"/>
      <c r="E4" s="651"/>
      <c r="F4"/>
      <c r="G4"/>
      <c r="H4"/>
      <c r="I4"/>
      <c r="J4"/>
    </row>
    <row r="6" spans="1:10" s="150" customFormat="1" x14ac:dyDescent="0.25">
      <c r="A6" s="672" t="s">
        <v>164</v>
      </c>
      <c r="B6" s="672"/>
      <c r="C6" s="672"/>
      <c r="D6" s="672"/>
      <c r="E6" s="672"/>
      <c r="F6" s="149"/>
      <c r="G6" s="149"/>
      <c r="H6" s="149"/>
      <c r="I6" s="149"/>
      <c r="J6" s="149"/>
    </row>
    <row r="7" spans="1:10" s="150" customFormat="1" x14ac:dyDescent="0.25">
      <c r="A7" s="149"/>
      <c r="B7" s="149"/>
      <c r="C7" s="149"/>
      <c r="D7" s="149"/>
      <c r="E7" s="149"/>
      <c r="F7" s="149"/>
      <c r="G7" s="149"/>
      <c r="H7" s="149"/>
      <c r="I7" s="149"/>
      <c r="J7" s="149"/>
    </row>
    <row r="8" spans="1:10" s="150" customFormat="1" ht="15.75" thickBot="1" x14ac:dyDescent="0.3">
      <c r="A8" s="27" t="str">
        <f>IFERROR("Al "&amp;DAY(Indice!B6)&amp;" de "&amp;VLOOKUP(MONTH(Indice!B6),Indice!P:Q,2,0)&amp;" de "&amp;YEAR(Indice!B6-365),"Al dia... de mes… de año 2XX1…")</f>
        <v>Al 31 de Diciembre de 2024</v>
      </c>
      <c r="B8" s="27"/>
      <c r="C8" s="27"/>
      <c r="D8" s="27"/>
      <c r="E8" s="27"/>
      <c r="F8" s="149"/>
      <c r="G8" s="149"/>
      <c r="H8" s="149"/>
      <c r="I8" s="149"/>
      <c r="J8" s="149"/>
    </row>
    <row r="9" spans="1:10" s="150" customFormat="1" ht="15.75" thickBot="1" x14ac:dyDescent="0.3">
      <c r="A9" s="151" t="s">
        <v>165</v>
      </c>
      <c r="B9" s="152" t="s">
        <v>166</v>
      </c>
      <c r="C9" s="151" t="s">
        <v>106</v>
      </c>
      <c r="D9" s="151" t="s">
        <v>167</v>
      </c>
      <c r="E9" s="151" t="s">
        <v>168</v>
      </c>
      <c r="F9" s="149"/>
      <c r="G9" s="149"/>
      <c r="H9" s="149"/>
      <c r="I9" s="149"/>
      <c r="J9" s="149"/>
    </row>
    <row r="10" spans="1:10" s="150" customFormat="1" x14ac:dyDescent="0.25">
      <c r="A10" s="153"/>
      <c r="B10" s="154"/>
      <c r="C10" s="155"/>
      <c r="D10" s="155"/>
      <c r="E10" s="156"/>
      <c r="F10" s="149"/>
      <c r="G10" s="149"/>
      <c r="H10" s="149"/>
      <c r="I10" s="149"/>
      <c r="J10" s="149"/>
    </row>
    <row r="11" spans="1:10" s="150" customFormat="1" ht="15" customHeight="1" x14ac:dyDescent="0.25">
      <c r="A11" s="157"/>
      <c r="B11" s="158"/>
      <c r="C11" s="159"/>
      <c r="D11" s="159"/>
      <c r="E11" s="160"/>
      <c r="F11" s="149"/>
      <c r="G11" s="149"/>
      <c r="H11" s="149"/>
      <c r="I11" s="149"/>
      <c r="J11" s="149"/>
    </row>
    <row r="12" spans="1:10" s="150" customFormat="1" x14ac:dyDescent="0.25">
      <c r="A12" s="157"/>
      <c r="B12" s="158"/>
      <c r="C12" s="159"/>
      <c r="D12" s="159"/>
      <c r="E12" s="160"/>
      <c r="F12" s="149"/>
      <c r="G12" s="149"/>
      <c r="H12" s="149"/>
      <c r="I12" s="149"/>
      <c r="J12" s="149"/>
    </row>
    <row r="13" spans="1:10" s="150" customFormat="1" ht="15.75" thickBot="1" x14ac:dyDescent="0.3">
      <c r="A13" s="161"/>
      <c r="B13" s="162"/>
      <c r="C13" s="163"/>
      <c r="D13" s="163"/>
      <c r="E13" s="164"/>
      <c r="F13" s="149"/>
      <c r="G13" s="149"/>
      <c r="H13" s="149"/>
      <c r="I13" s="149"/>
      <c r="J13" s="149"/>
    </row>
    <row r="14" spans="1:10" s="150" customFormat="1" x14ac:dyDescent="0.25">
      <c r="A14" s="149"/>
      <c r="B14" s="149"/>
      <c r="C14" s="149"/>
      <c r="D14" s="149"/>
      <c r="E14" s="149"/>
      <c r="F14" s="149"/>
      <c r="G14" s="149"/>
      <c r="H14" s="149"/>
      <c r="I14" s="149"/>
      <c r="J14" s="149"/>
    </row>
    <row r="15" spans="1:10" s="150" customFormat="1" ht="15.75" thickBot="1" x14ac:dyDescent="0.3">
      <c r="A15" s="27" t="str">
        <f>IFERROR("Al "&amp;DAY(Indice!B6)&amp;" de "&amp;VLOOKUP(MONTH(Indice!B6),Indice!P:Q,2,0)&amp;" de "&amp;YEAR(Indice!B6-1),"Al dia... de mes… de año 2XX2…")</f>
        <v>Al 31 de Diciembre de 2024</v>
      </c>
      <c r="B15" s="327"/>
      <c r="C15" s="327"/>
      <c r="D15" s="327"/>
      <c r="E15" s="327"/>
      <c r="F15" s="149"/>
      <c r="G15" s="149"/>
      <c r="H15" s="149"/>
      <c r="I15" s="149"/>
      <c r="J15" s="149"/>
    </row>
    <row r="16" spans="1:10" s="150" customFormat="1" ht="30.2" customHeight="1" thickBot="1" x14ac:dyDescent="0.3">
      <c r="A16" s="151" t="s">
        <v>165</v>
      </c>
      <c r="B16" s="152" t="s">
        <v>166</v>
      </c>
      <c r="C16" s="151" t="s">
        <v>106</v>
      </c>
      <c r="D16" s="151" t="s">
        <v>167</v>
      </c>
      <c r="E16" s="151" t="s">
        <v>168</v>
      </c>
      <c r="F16" s="149"/>
      <c r="G16" s="149"/>
      <c r="H16" s="149"/>
      <c r="I16" s="149"/>
      <c r="J16" s="149"/>
    </row>
    <row r="17" spans="1:10" s="150" customFormat="1" x14ac:dyDescent="0.25">
      <c r="A17" s="153"/>
      <c r="B17" s="154"/>
      <c r="C17" s="155"/>
      <c r="D17" s="155"/>
      <c r="E17" s="156"/>
      <c r="F17" s="149"/>
      <c r="G17" s="149"/>
      <c r="H17" s="149"/>
      <c r="I17" s="149"/>
      <c r="J17" s="149"/>
    </row>
    <row r="18" spans="1:10" s="150" customFormat="1" x14ac:dyDescent="0.25">
      <c r="A18" s="157"/>
      <c r="B18" s="158"/>
      <c r="C18" s="159"/>
      <c r="D18" s="159"/>
      <c r="E18" s="160"/>
      <c r="F18" s="149"/>
      <c r="G18" s="149"/>
      <c r="H18" s="149"/>
      <c r="I18" s="149"/>
      <c r="J18" s="149"/>
    </row>
    <row r="19" spans="1:10" s="150" customFormat="1" x14ac:dyDescent="0.25">
      <c r="A19" s="157"/>
      <c r="B19" s="158"/>
      <c r="C19" s="159"/>
      <c r="D19" s="159"/>
      <c r="E19" s="160"/>
      <c r="F19" s="149"/>
      <c r="G19" s="149"/>
      <c r="H19" s="149"/>
      <c r="I19" s="149"/>
      <c r="J19" s="149"/>
    </row>
    <row r="20" spans="1:10" s="150" customFormat="1" ht="15.75" thickBot="1" x14ac:dyDescent="0.3">
      <c r="A20" s="161"/>
      <c r="B20" s="162"/>
      <c r="C20" s="163"/>
      <c r="D20" s="163"/>
      <c r="E20" s="164"/>
      <c r="F20" s="149"/>
      <c r="G20" s="149"/>
      <c r="H20" s="149"/>
      <c r="I20" s="149"/>
      <c r="J20" s="149"/>
    </row>
    <row r="21" spans="1:10" s="150" customFormat="1" x14ac:dyDescent="0.25">
      <c r="A21" s="149"/>
      <c r="B21" s="149"/>
      <c r="C21" s="149"/>
      <c r="D21" s="149"/>
      <c r="E21" s="149"/>
      <c r="F21" s="149"/>
      <c r="G21" s="149"/>
      <c r="H21" s="149"/>
      <c r="I21" s="149"/>
      <c r="J21" s="149"/>
    </row>
    <row r="22" spans="1:10" s="150" customFormat="1" x14ac:dyDescent="0.25">
      <c r="A22" s="149"/>
      <c r="B22" s="149"/>
      <c r="C22" s="149"/>
      <c r="D22" s="149"/>
      <c r="E22" s="149"/>
      <c r="F22" s="149"/>
      <c r="G22" s="149"/>
      <c r="H22" s="149"/>
      <c r="I22" s="149"/>
      <c r="J22" s="149"/>
    </row>
    <row r="23" spans="1:10" s="150" customFormat="1" x14ac:dyDescent="0.25">
      <c r="A23" s="149"/>
      <c r="B23" s="149"/>
      <c r="C23" s="149"/>
      <c r="D23" s="149"/>
      <c r="E23" s="149"/>
      <c r="F23" s="149"/>
      <c r="G23" s="149"/>
      <c r="H23" s="149"/>
      <c r="I23" s="149"/>
      <c r="J23" s="149"/>
    </row>
    <row r="24" spans="1:10" s="150" customFormat="1" x14ac:dyDescent="0.25">
      <c r="A24" s="149"/>
      <c r="B24" s="149"/>
      <c r="C24" s="149"/>
      <c r="D24" s="149"/>
      <c r="E24" s="149"/>
      <c r="F24" s="149"/>
      <c r="G24" s="149"/>
      <c r="H24" s="149"/>
      <c r="I24" s="149"/>
      <c r="J24" s="149"/>
    </row>
    <row r="25" spans="1:10" s="150" customFormat="1" x14ac:dyDescent="0.25">
      <c r="A25" s="149"/>
      <c r="B25" s="149"/>
      <c r="C25" s="149"/>
      <c r="D25" s="149"/>
      <c r="E25" s="149"/>
      <c r="F25" s="149"/>
      <c r="G25" s="149"/>
      <c r="H25" s="149"/>
      <c r="I25" s="149"/>
      <c r="J25" s="149"/>
    </row>
    <row r="26" spans="1:10" s="150" customFormat="1" x14ac:dyDescent="0.25">
      <c r="A26" s="149"/>
      <c r="B26" s="149"/>
      <c r="C26" s="149"/>
      <c r="D26" s="149"/>
      <c r="E26" s="149"/>
      <c r="F26" s="149"/>
      <c r="G26" s="149"/>
      <c r="H26" s="149"/>
      <c r="I26" s="149"/>
      <c r="J26" s="149"/>
    </row>
    <row r="27" spans="1:10" s="150" customFormat="1" x14ac:dyDescent="0.25">
      <c r="A27" s="149"/>
      <c r="B27" s="149"/>
      <c r="C27" s="149"/>
      <c r="D27" s="149"/>
      <c r="E27" s="149"/>
      <c r="F27" s="149"/>
      <c r="G27" s="149"/>
      <c r="H27" s="149"/>
      <c r="I27" s="149"/>
      <c r="J27" s="149"/>
    </row>
    <row r="28" spans="1:10" s="150" customFormat="1" x14ac:dyDescent="0.25">
      <c r="A28" s="149"/>
      <c r="B28" s="149"/>
      <c r="C28" s="149"/>
      <c r="D28" s="149"/>
      <c r="E28" s="149"/>
      <c r="F28" s="149"/>
      <c r="G28" s="149"/>
      <c r="H28" s="149"/>
      <c r="I28" s="149"/>
      <c r="J28" s="149"/>
    </row>
    <row r="29" spans="1:10" s="150" customFormat="1" x14ac:dyDescent="0.25">
      <c r="A29" s="149"/>
      <c r="B29" s="149"/>
      <c r="C29" s="149"/>
      <c r="D29" s="149"/>
      <c r="E29" s="149"/>
      <c r="F29" s="149"/>
      <c r="G29" s="149"/>
      <c r="H29" s="149"/>
      <c r="I29" s="149"/>
      <c r="J29" s="149"/>
    </row>
    <row r="30" spans="1:10" s="150" customFormat="1" x14ac:dyDescent="0.25">
      <c r="A30" s="149"/>
      <c r="B30" s="149"/>
      <c r="C30" s="149"/>
      <c r="D30" s="149"/>
      <c r="E30" s="149"/>
      <c r="F30" s="149"/>
      <c r="G30" s="149"/>
      <c r="H30" s="149"/>
      <c r="I30" s="149"/>
      <c r="J30" s="149"/>
    </row>
    <row r="31" spans="1:10" s="150" customFormat="1" x14ac:dyDescent="0.25">
      <c r="A31" s="149"/>
      <c r="B31" s="149"/>
      <c r="C31" s="149"/>
      <c r="D31" s="149"/>
      <c r="E31" s="149"/>
      <c r="F31" s="149"/>
      <c r="G31" s="149"/>
      <c r="H31" s="149"/>
      <c r="I31" s="149"/>
      <c r="J31" s="149"/>
    </row>
    <row r="32" spans="1:10" s="150" customFormat="1" x14ac:dyDescent="0.25">
      <c r="A32" s="149"/>
      <c r="B32" s="149"/>
      <c r="C32" s="149"/>
      <c r="D32" s="149"/>
      <c r="E32" s="149"/>
      <c r="F32" s="149"/>
      <c r="G32" s="149"/>
      <c r="H32" s="149"/>
      <c r="I32" s="149"/>
      <c r="J32" s="149"/>
    </row>
    <row r="33" spans="1:10" s="150" customFormat="1" x14ac:dyDescent="0.25">
      <c r="A33" s="149"/>
      <c r="B33" s="149"/>
      <c r="C33" s="149"/>
      <c r="D33" s="149"/>
      <c r="E33" s="149"/>
      <c r="F33" s="149"/>
      <c r="G33" s="149"/>
      <c r="H33" s="149"/>
      <c r="I33" s="149"/>
      <c r="J33" s="149"/>
    </row>
    <row r="34" spans="1:10" s="150" customFormat="1" x14ac:dyDescent="0.25">
      <c r="A34" s="149"/>
      <c r="B34" s="149"/>
      <c r="C34" s="149"/>
      <c r="D34" s="149"/>
      <c r="E34" s="149"/>
      <c r="F34" s="149"/>
      <c r="G34" s="149"/>
      <c r="H34" s="149"/>
      <c r="I34" s="149"/>
      <c r="J34" s="149"/>
    </row>
    <row r="35" spans="1:10" s="150" customFormat="1" x14ac:dyDescent="0.25">
      <c r="A35" s="149"/>
      <c r="B35" s="149"/>
      <c r="C35" s="149"/>
      <c r="D35" s="149"/>
      <c r="E35" s="149"/>
      <c r="F35" s="149"/>
      <c r="G35" s="149"/>
      <c r="H35" s="149"/>
      <c r="I35" s="149"/>
      <c r="J35" s="149"/>
    </row>
    <row r="36" spans="1:10" s="150" customFormat="1" x14ac:dyDescent="0.25">
      <c r="A36" s="149"/>
      <c r="B36" s="149"/>
      <c r="C36" s="149"/>
      <c r="D36" s="149"/>
      <c r="E36" s="149"/>
      <c r="F36" s="149"/>
      <c r="G36" s="149"/>
      <c r="H36" s="149"/>
      <c r="I36" s="149"/>
      <c r="J36" s="149"/>
    </row>
    <row r="37" spans="1:10" s="150" customFormat="1" x14ac:dyDescent="0.25">
      <c r="A37" s="149"/>
      <c r="B37" s="149"/>
      <c r="C37" s="149"/>
      <c r="D37" s="149"/>
      <c r="E37" s="149"/>
      <c r="F37" s="149"/>
      <c r="G37" s="149"/>
      <c r="H37" s="149"/>
      <c r="I37" s="149"/>
      <c r="J37" s="149"/>
    </row>
    <row r="38" spans="1:10" s="150" customFormat="1" x14ac:dyDescent="0.25">
      <c r="A38" s="149"/>
      <c r="B38" s="149"/>
      <c r="C38" s="149"/>
      <c r="D38" s="149"/>
      <c r="E38" s="149"/>
      <c r="F38" s="149"/>
      <c r="G38" s="149"/>
      <c r="H38" s="149"/>
      <c r="I38" s="149"/>
      <c r="J38" s="149"/>
    </row>
    <row r="39" spans="1:10" s="150" customFormat="1" x14ac:dyDescent="0.25">
      <c r="A39" s="149"/>
      <c r="B39" s="149"/>
      <c r="C39" s="149"/>
      <c r="D39" s="149"/>
      <c r="E39" s="149"/>
      <c r="F39" s="149"/>
      <c r="G39" s="149"/>
      <c r="H39" s="149"/>
      <c r="I39" s="149"/>
      <c r="J39" s="149"/>
    </row>
    <row r="40" spans="1:10" s="150" customFormat="1" x14ac:dyDescent="0.25">
      <c r="A40" s="149"/>
      <c r="B40" s="149"/>
      <c r="C40" s="149"/>
      <c r="D40" s="149"/>
      <c r="E40" s="149"/>
      <c r="F40" s="149"/>
      <c r="G40" s="149"/>
      <c r="H40" s="149"/>
      <c r="I40" s="149"/>
      <c r="J40" s="149"/>
    </row>
    <row r="41" spans="1:10" s="150" customFormat="1" x14ac:dyDescent="0.25">
      <c r="A41" s="149"/>
      <c r="B41" s="149"/>
      <c r="C41" s="149"/>
      <c r="D41" s="149"/>
      <c r="E41" s="149"/>
      <c r="F41" s="149"/>
      <c r="G41" s="149"/>
      <c r="H41" s="149"/>
      <c r="I41" s="149"/>
      <c r="J41" s="149"/>
    </row>
    <row r="42" spans="1:10" s="150" customFormat="1" x14ac:dyDescent="0.25">
      <c r="A42" s="149"/>
      <c r="B42" s="149"/>
      <c r="C42" s="149"/>
      <c r="D42" s="149"/>
      <c r="E42" s="149"/>
      <c r="F42" s="149"/>
      <c r="G42" s="149"/>
      <c r="H42" s="149"/>
      <c r="I42" s="149"/>
      <c r="J42" s="149"/>
    </row>
    <row r="43" spans="1:10" s="150" customFormat="1" x14ac:dyDescent="0.25">
      <c r="A43" s="149"/>
      <c r="B43" s="149"/>
      <c r="C43" s="149"/>
      <c r="D43" s="149"/>
      <c r="E43" s="149"/>
      <c r="F43" s="149"/>
      <c r="G43" s="149"/>
      <c r="H43" s="149"/>
      <c r="I43" s="149"/>
      <c r="J43" s="149"/>
    </row>
    <row r="44" spans="1:10" s="150" customFormat="1" x14ac:dyDescent="0.25">
      <c r="A44" s="149"/>
      <c r="B44" s="149"/>
      <c r="C44" s="149"/>
      <c r="D44" s="149"/>
      <c r="E44" s="149"/>
      <c r="F44" s="149"/>
      <c r="G44" s="149"/>
      <c r="H44" s="149"/>
      <c r="I44" s="149"/>
      <c r="J44" s="149"/>
    </row>
    <row r="45" spans="1:10" s="150" customFormat="1" x14ac:dyDescent="0.25">
      <c r="A45" s="149"/>
      <c r="B45" s="149"/>
      <c r="C45" s="149"/>
      <c r="D45" s="149"/>
      <c r="E45" s="149"/>
      <c r="F45" s="149"/>
      <c r="G45" s="149"/>
      <c r="H45" s="149"/>
      <c r="I45" s="149"/>
      <c r="J45" s="149"/>
    </row>
    <row r="46" spans="1:10" s="150" customFormat="1" x14ac:dyDescent="0.25">
      <c r="A46" s="149"/>
      <c r="B46" s="149"/>
      <c r="C46" s="149"/>
      <c r="D46" s="149"/>
      <c r="E46" s="149"/>
      <c r="F46" s="149"/>
      <c r="G46" s="149"/>
      <c r="H46" s="149"/>
      <c r="I46" s="149"/>
      <c r="J46" s="149"/>
    </row>
    <row r="47" spans="1:10" s="150" customFormat="1" x14ac:dyDescent="0.25">
      <c r="A47" s="149"/>
      <c r="B47" s="149"/>
      <c r="C47" s="149"/>
      <c r="D47" s="149"/>
      <c r="E47" s="149"/>
      <c r="F47" s="149"/>
      <c r="G47" s="149"/>
      <c r="H47" s="149"/>
      <c r="I47" s="149"/>
      <c r="J47" s="149"/>
    </row>
    <row r="48" spans="1:10" s="150" customFormat="1" x14ac:dyDescent="0.25">
      <c r="A48" s="149"/>
      <c r="B48" s="149"/>
      <c r="C48" s="149"/>
      <c r="D48" s="149"/>
      <c r="E48" s="149"/>
      <c r="F48" s="149"/>
      <c r="G48" s="149"/>
      <c r="H48" s="149"/>
      <c r="I48" s="149"/>
      <c r="J48" s="149"/>
    </row>
    <row r="49" spans="1:10" s="150" customFormat="1" x14ac:dyDescent="0.25">
      <c r="A49" s="149"/>
      <c r="B49" s="149"/>
      <c r="C49" s="149"/>
      <c r="D49" s="149"/>
      <c r="E49" s="149"/>
      <c r="F49" s="149"/>
      <c r="G49" s="149"/>
      <c r="H49" s="149"/>
      <c r="I49" s="149"/>
      <c r="J49" s="149"/>
    </row>
    <row r="50" spans="1:10" s="150" customFormat="1" x14ac:dyDescent="0.25">
      <c r="A50" s="149"/>
      <c r="B50" s="149"/>
      <c r="C50" s="149"/>
      <c r="D50" s="149"/>
      <c r="E50" s="149"/>
      <c r="F50" s="149"/>
      <c r="G50" s="149"/>
      <c r="H50" s="149"/>
      <c r="I50" s="149"/>
      <c r="J50" s="149"/>
    </row>
    <row r="51" spans="1:10" s="150" customFormat="1" x14ac:dyDescent="0.25">
      <c r="A51" s="149"/>
      <c r="B51" s="149"/>
      <c r="C51" s="149"/>
      <c r="D51" s="149"/>
      <c r="E51" s="149"/>
      <c r="F51" s="149"/>
      <c r="G51" s="149"/>
      <c r="H51" s="149"/>
      <c r="I51" s="149"/>
      <c r="J51" s="149"/>
    </row>
    <row r="52" spans="1:10" s="150" customFormat="1" x14ac:dyDescent="0.25">
      <c r="A52" s="149"/>
      <c r="B52" s="149"/>
      <c r="C52" s="149"/>
      <c r="D52" s="149"/>
      <c r="E52" s="149"/>
      <c r="F52" s="149"/>
      <c r="G52" s="149"/>
      <c r="H52" s="149"/>
      <c r="I52" s="149"/>
      <c r="J52" s="149"/>
    </row>
    <row r="53" spans="1:10" s="150" customFormat="1" x14ac:dyDescent="0.25">
      <c r="A53" s="149"/>
      <c r="B53" s="149"/>
      <c r="C53" s="149"/>
      <c r="D53" s="149"/>
      <c r="E53" s="149"/>
      <c r="F53" s="149"/>
      <c r="G53" s="149"/>
      <c r="H53" s="149"/>
      <c r="I53" s="149"/>
      <c r="J53" s="149"/>
    </row>
    <row r="54" spans="1:10" s="150" customFormat="1" x14ac:dyDescent="0.25">
      <c r="A54" s="149"/>
      <c r="B54" s="149"/>
      <c r="C54" s="149"/>
      <c r="D54" s="149"/>
      <c r="E54" s="149"/>
      <c r="F54" s="149"/>
      <c r="G54" s="149"/>
      <c r="H54" s="149"/>
      <c r="I54" s="149"/>
      <c r="J54" s="149"/>
    </row>
    <row r="55" spans="1:10" s="150" customFormat="1" x14ac:dyDescent="0.25">
      <c r="A55" s="149"/>
      <c r="B55" s="149"/>
      <c r="C55" s="149"/>
      <c r="D55" s="149"/>
      <c r="E55" s="149"/>
      <c r="F55" s="149"/>
      <c r="G55" s="149"/>
      <c r="H55" s="149"/>
      <c r="I55" s="149"/>
      <c r="J55" s="149"/>
    </row>
    <row r="56" spans="1:10" s="150" customFormat="1" x14ac:dyDescent="0.25">
      <c r="A56" s="149"/>
      <c r="B56" s="149"/>
      <c r="C56" s="149"/>
      <c r="D56" s="149"/>
      <c r="E56" s="149"/>
      <c r="F56" s="149"/>
      <c r="G56" s="149"/>
      <c r="H56" s="149"/>
      <c r="I56" s="149"/>
      <c r="J56" s="149"/>
    </row>
    <row r="57" spans="1:10" s="150" customFormat="1" x14ac:dyDescent="0.25">
      <c r="A57" s="149"/>
      <c r="B57" s="149"/>
      <c r="C57" s="149"/>
      <c r="D57" s="149"/>
      <c r="E57" s="149"/>
      <c r="F57" s="149"/>
      <c r="G57" s="149"/>
      <c r="H57" s="149"/>
      <c r="I57" s="149"/>
      <c r="J57" s="149"/>
    </row>
    <row r="58" spans="1:10" s="150" customFormat="1" x14ac:dyDescent="0.25">
      <c r="A58" s="149"/>
      <c r="B58" s="149"/>
      <c r="C58" s="149"/>
      <c r="D58" s="149"/>
      <c r="E58" s="149"/>
      <c r="F58" s="149"/>
      <c r="G58" s="149"/>
      <c r="H58" s="149"/>
      <c r="I58" s="149"/>
      <c r="J58" s="149"/>
    </row>
    <row r="59" spans="1:10" s="150" customFormat="1" x14ac:dyDescent="0.25">
      <c r="A59" s="149"/>
      <c r="B59" s="149"/>
      <c r="C59" s="149"/>
      <c r="D59" s="149"/>
      <c r="E59" s="149"/>
      <c r="F59" s="149"/>
      <c r="G59" s="149"/>
      <c r="H59" s="149"/>
      <c r="I59" s="149"/>
      <c r="J59" s="149"/>
    </row>
    <row r="60" spans="1:10" s="150" customFormat="1" x14ac:dyDescent="0.25">
      <c r="A60" s="149"/>
      <c r="B60" s="149"/>
      <c r="C60" s="149"/>
      <c r="D60" s="149"/>
      <c r="E60" s="149"/>
      <c r="F60" s="149"/>
      <c r="G60" s="149"/>
      <c r="H60" s="149"/>
      <c r="I60" s="149"/>
      <c r="J60" s="149"/>
    </row>
  </sheetData>
  <mergeCells count="2">
    <mergeCell ref="A6:E6"/>
    <mergeCell ref="A4:E4"/>
  </mergeCells>
  <hyperlinks>
    <hyperlink ref="E1" location="Indice!A1" display="Indice" xr:uid="{00000000-0004-0000-2800-000000000000}"/>
  </hyperlinks>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Hoja42">
    <tabColor rgb="FFFFFF00"/>
    <pageSetUpPr fitToPage="1"/>
  </sheetPr>
  <dimension ref="A1:H44"/>
  <sheetViews>
    <sheetView topLeftCell="A33" zoomScaleNormal="100" zoomScaleSheetLayoutView="70" workbookViewId="0">
      <selection activeCell="A42" sqref="A42:E43"/>
    </sheetView>
  </sheetViews>
  <sheetFormatPr baseColWidth="10" defaultRowHeight="15" x14ac:dyDescent="0.25"/>
  <cols>
    <col min="1" max="1" width="3" style="103" customWidth="1"/>
    <col min="2" max="2" width="47.85546875" style="103" bestFit="1" customWidth="1"/>
    <col min="3" max="4" width="24.42578125" style="103" customWidth="1"/>
    <col min="5" max="5" width="10.85546875" style="103" customWidth="1"/>
    <col min="6" max="8" width="11.42578125" style="103" customWidth="1"/>
  </cols>
  <sheetData>
    <row r="1" spans="1:8" x14ac:dyDescent="0.25">
      <c r="A1" s="103" t="str">
        <f>Indice!C1</f>
        <v>SALLUSTRO Y CIA. S.A.</v>
      </c>
      <c r="E1" s="122" t="s">
        <v>330</v>
      </c>
    </row>
    <row r="2" spans="1:8" x14ac:dyDescent="0.25">
      <c r="C2" s="111"/>
    </row>
    <row r="4" spans="1:8" x14ac:dyDescent="0.25">
      <c r="A4" s="216" t="s">
        <v>331</v>
      </c>
      <c r="B4" s="216"/>
      <c r="C4" s="216"/>
      <c r="D4" s="216"/>
      <c r="E4" s="216"/>
    </row>
    <row r="5" spans="1:8" x14ac:dyDescent="0.25">
      <c r="A5" s="666" t="s">
        <v>1065</v>
      </c>
      <c r="B5" s="666"/>
      <c r="C5" s="666"/>
      <c r="D5" s="666"/>
      <c r="E5" s="666"/>
    </row>
    <row r="6" spans="1:8" x14ac:dyDescent="0.25">
      <c r="A6" s="666" t="s">
        <v>1066</v>
      </c>
      <c r="B6" s="666"/>
      <c r="C6" s="666"/>
      <c r="D6" s="666"/>
      <c r="E6" s="666"/>
    </row>
    <row r="7" spans="1:8" s="150" customFormat="1" ht="15" customHeight="1" x14ac:dyDescent="0.25">
      <c r="A7" s="403" t="str">
        <f>IFERROR("Los principales contratos suscriptos por la Sociedad, vigentes al  "&amp;DAY(Indice!B6)&amp;" de "&amp;VLOOKUP(MONTH(Indice!B6),Indice!P:Q,2,0)&amp;" de "&amp;YEAR(Indice!B6-1)&amp;" son:","Los principales contratos suscriptos por la Sociedad, vigentes al … de …  20X2 son:")</f>
        <v>Los principales contratos suscriptos por la Sociedad, vigentes al  31 de Diciembre de 2024 son:</v>
      </c>
      <c r="B7" s="403"/>
      <c r="C7" s="403"/>
      <c r="D7" s="403"/>
      <c r="E7" s="403"/>
      <c r="F7" s="149"/>
      <c r="G7" s="149"/>
      <c r="H7" s="149"/>
    </row>
    <row r="8" spans="1:8" s="150" customFormat="1" ht="15" customHeight="1" x14ac:dyDescent="0.25">
      <c r="A8" s="403"/>
      <c r="B8" s="404" t="s">
        <v>948</v>
      </c>
      <c r="C8" s="404" t="s">
        <v>949</v>
      </c>
      <c r="D8" s="404" t="s">
        <v>950</v>
      </c>
      <c r="E8" s="403"/>
      <c r="F8" s="149"/>
      <c r="G8" s="149"/>
      <c r="H8" s="149"/>
    </row>
    <row r="9" spans="1:8" s="150" customFormat="1" ht="14.45" customHeight="1" x14ac:dyDescent="0.25">
      <c r="A9" s="568">
        <v>1</v>
      </c>
      <c r="B9" s="403" t="s">
        <v>932</v>
      </c>
      <c r="C9" s="403" t="s">
        <v>934</v>
      </c>
      <c r="D9" s="569">
        <v>46022</v>
      </c>
      <c r="E9" s="403"/>
      <c r="F9" s="149"/>
      <c r="G9" s="149"/>
      <c r="H9" s="149"/>
    </row>
    <row r="10" spans="1:8" s="149" customFormat="1" ht="14.45" customHeight="1" x14ac:dyDescent="0.25">
      <c r="A10" s="568">
        <v>2</v>
      </c>
      <c r="B10" s="403" t="s">
        <v>932</v>
      </c>
      <c r="C10" s="403" t="s">
        <v>1135</v>
      </c>
      <c r="D10" s="569">
        <v>46022</v>
      </c>
      <c r="E10" s="403"/>
    </row>
    <row r="11" spans="1:8" s="149" customFormat="1" ht="14.45" customHeight="1" x14ac:dyDescent="0.25">
      <c r="A11" s="568">
        <v>3</v>
      </c>
      <c r="B11" s="403" t="s">
        <v>933</v>
      </c>
      <c r="C11" s="403" t="s">
        <v>1198</v>
      </c>
      <c r="D11" s="569">
        <v>46022</v>
      </c>
      <c r="E11" s="403"/>
    </row>
    <row r="12" spans="1:8" s="149" customFormat="1" ht="14.45" customHeight="1" x14ac:dyDescent="0.25">
      <c r="A12" s="568">
        <v>4</v>
      </c>
      <c r="B12" s="403" t="s">
        <v>933</v>
      </c>
      <c r="C12" s="403" t="s">
        <v>937</v>
      </c>
      <c r="D12" s="569">
        <v>46022</v>
      </c>
      <c r="E12" s="403"/>
    </row>
    <row r="13" spans="1:8" s="149" customFormat="1" ht="14.45" customHeight="1" x14ac:dyDescent="0.25">
      <c r="A13" s="568">
        <v>5</v>
      </c>
      <c r="B13" s="403" t="s">
        <v>933</v>
      </c>
      <c r="C13" s="403" t="s">
        <v>1079</v>
      </c>
      <c r="D13" s="569">
        <v>46022</v>
      </c>
      <c r="E13" s="403"/>
    </row>
    <row r="14" spans="1:8" s="149" customFormat="1" ht="14.45" customHeight="1" x14ac:dyDescent="0.25">
      <c r="A14" s="568">
        <v>6</v>
      </c>
      <c r="B14" s="403" t="s">
        <v>933</v>
      </c>
      <c r="C14" s="403" t="s">
        <v>1080</v>
      </c>
      <c r="D14" s="569">
        <v>46022</v>
      </c>
      <c r="E14" s="403"/>
    </row>
    <row r="15" spans="1:8" s="149" customFormat="1" ht="14.45" customHeight="1" x14ac:dyDescent="0.25">
      <c r="A15" s="568">
        <v>7</v>
      </c>
      <c r="B15" s="403" t="s">
        <v>933</v>
      </c>
      <c r="C15" s="403" t="s">
        <v>1081</v>
      </c>
      <c r="D15" s="569">
        <v>46022</v>
      </c>
      <c r="E15" s="403"/>
    </row>
    <row r="16" spans="1:8" s="149" customFormat="1" ht="14.45" customHeight="1" x14ac:dyDescent="0.25">
      <c r="A16" s="568">
        <v>8</v>
      </c>
      <c r="B16" s="403" t="s">
        <v>935</v>
      </c>
      <c r="C16" s="403" t="s">
        <v>1082</v>
      </c>
      <c r="D16" s="569">
        <v>45747</v>
      </c>
      <c r="E16" s="403"/>
    </row>
    <row r="17" spans="1:8" s="149" customFormat="1" ht="14.45" customHeight="1" x14ac:dyDescent="0.25">
      <c r="A17" s="568">
        <v>9</v>
      </c>
      <c r="B17" s="403" t="s">
        <v>936</v>
      </c>
      <c r="C17" s="403" t="s">
        <v>934</v>
      </c>
      <c r="D17" s="569">
        <v>45747</v>
      </c>
      <c r="E17" s="403"/>
    </row>
    <row r="18" spans="1:8" s="149" customFormat="1" ht="14.45" customHeight="1" x14ac:dyDescent="0.25">
      <c r="A18" s="568">
        <v>10</v>
      </c>
      <c r="B18" s="403" t="s">
        <v>935</v>
      </c>
      <c r="C18" s="403" t="s">
        <v>937</v>
      </c>
      <c r="D18" s="569">
        <v>45747</v>
      </c>
      <c r="E18" s="403"/>
    </row>
    <row r="19" spans="1:8" s="149" customFormat="1" ht="14.45" customHeight="1" x14ac:dyDescent="0.25">
      <c r="A19" s="568">
        <v>11</v>
      </c>
      <c r="B19" s="403" t="s">
        <v>935</v>
      </c>
      <c r="C19" s="403" t="s">
        <v>1080</v>
      </c>
      <c r="D19" s="569">
        <v>46996</v>
      </c>
      <c r="E19" s="403"/>
    </row>
    <row r="20" spans="1:8" s="149" customFormat="1" ht="14.45" customHeight="1" x14ac:dyDescent="0.25">
      <c r="A20" s="568">
        <v>12</v>
      </c>
      <c r="B20" s="403" t="s">
        <v>935</v>
      </c>
      <c r="C20" s="149" t="s">
        <v>1207</v>
      </c>
      <c r="D20" s="403">
        <v>46722</v>
      </c>
      <c r="E20" s="403"/>
    </row>
    <row r="21" spans="1:8" s="149" customFormat="1" x14ac:dyDescent="0.25">
      <c r="A21" s="568">
        <v>13</v>
      </c>
      <c r="B21" s="403" t="s">
        <v>938</v>
      </c>
      <c r="C21" s="403" t="s">
        <v>939</v>
      </c>
      <c r="D21" s="403">
        <v>46022</v>
      </c>
      <c r="E21" s="403"/>
    </row>
    <row r="22" spans="1:8" s="149" customFormat="1" x14ac:dyDescent="0.25">
      <c r="A22" s="568">
        <v>14</v>
      </c>
      <c r="B22" s="403" t="s">
        <v>938</v>
      </c>
      <c r="C22" s="149" t="s">
        <v>1207</v>
      </c>
      <c r="D22" s="403">
        <v>46660</v>
      </c>
      <c r="E22" s="403"/>
    </row>
    <row r="23" spans="1:8" s="149" customFormat="1" x14ac:dyDescent="0.25">
      <c r="A23" s="568">
        <v>15</v>
      </c>
      <c r="B23" s="403" t="s">
        <v>940</v>
      </c>
      <c r="C23" s="403" t="s">
        <v>937</v>
      </c>
      <c r="D23" s="569">
        <v>46934</v>
      </c>
      <c r="E23" s="403"/>
    </row>
    <row r="24" spans="1:8" s="149" customFormat="1" x14ac:dyDescent="0.25">
      <c r="A24" s="568">
        <v>16</v>
      </c>
      <c r="B24" s="403" t="s">
        <v>940</v>
      </c>
      <c r="C24" s="403" t="s">
        <v>934</v>
      </c>
      <c r="D24" s="569">
        <v>46873</v>
      </c>
    </row>
    <row r="25" spans="1:8" s="149" customFormat="1" x14ac:dyDescent="0.25">
      <c r="A25" s="568">
        <v>17</v>
      </c>
      <c r="B25" s="403" t="s">
        <v>940</v>
      </c>
      <c r="C25" s="403" t="s">
        <v>1082</v>
      </c>
      <c r="D25" s="569">
        <v>46234</v>
      </c>
    </row>
    <row r="26" spans="1:8" s="149" customFormat="1" x14ac:dyDescent="0.25">
      <c r="A26" s="568">
        <v>18</v>
      </c>
      <c r="B26" s="403" t="s">
        <v>940</v>
      </c>
      <c r="C26" s="403" t="s">
        <v>1080</v>
      </c>
      <c r="D26" s="569">
        <v>46234</v>
      </c>
    </row>
    <row r="27" spans="1:8" s="149" customFormat="1" x14ac:dyDescent="0.25">
      <c r="A27" s="568">
        <v>19</v>
      </c>
      <c r="B27" s="403" t="s">
        <v>1199</v>
      </c>
      <c r="C27" s="403" t="s">
        <v>1200</v>
      </c>
      <c r="D27" s="569">
        <v>45961</v>
      </c>
    </row>
    <row r="28" spans="1:8" s="149" customFormat="1" x14ac:dyDescent="0.25">
      <c r="A28" s="568">
        <v>20</v>
      </c>
      <c r="B28" s="149" t="s">
        <v>941</v>
      </c>
      <c r="C28" s="149" t="s">
        <v>937</v>
      </c>
      <c r="D28" s="569">
        <v>45747</v>
      </c>
    </row>
    <row r="29" spans="1:8" s="150" customFormat="1" x14ac:dyDescent="0.25">
      <c r="A29" s="568">
        <v>21</v>
      </c>
      <c r="B29" s="149" t="s">
        <v>941</v>
      </c>
      <c r="C29" s="150" t="s">
        <v>1082</v>
      </c>
      <c r="D29" s="569">
        <v>45688</v>
      </c>
      <c r="E29" s="149"/>
      <c r="F29" s="149"/>
      <c r="G29" s="149"/>
      <c r="H29" s="149"/>
    </row>
    <row r="30" spans="1:8" s="150" customFormat="1" x14ac:dyDescent="0.25">
      <c r="A30" s="568">
        <v>22</v>
      </c>
      <c r="B30" s="149" t="s">
        <v>942</v>
      </c>
      <c r="C30" s="149" t="s">
        <v>943</v>
      </c>
      <c r="D30" s="569">
        <v>46022</v>
      </c>
      <c r="E30" s="149"/>
      <c r="F30" s="149"/>
      <c r="G30" s="149"/>
      <c r="H30" s="149"/>
    </row>
    <row r="31" spans="1:8" s="150" customFormat="1" x14ac:dyDescent="0.25">
      <c r="A31" s="568">
        <v>23</v>
      </c>
      <c r="B31" s="149" t="s">
        <v>944</v>
      </c>
      <c r="C31" s="149" t="s">
        <v>939</v>
      </c>
      <c r="D31" s="569">
        <v>46934</v>
      </c>
      <c r="E31" s="149"/>
      <c r="F31" s="149"/>
      <c r="G31" s="149"/>
      <c r="H31" s="149"/>
    </row>
    <row r="32" spans="1:8" s="406" customFormat="1" x14ac:dyDescent="0.25">
      <c r="A32" s="568">
        <v>24</v>
      </c>
      <c r="B32" s="150" t="s">
        <v>945</v>
      </c>
      <c r="C32" s="149" t="s">
        <v>939</v>
      </c>
      <c r="D32" s="569">
        <v>45808</v>
      </c>
      <c r="E32" s="405"/>
      <c r="F32" s="405"/>
      <c r="G32" s="405"/>
      <c r="H32" s="405"/>
    </row>
    <row r="33" spans="1:8" s="406" customFormat="1" x14ac:dyDescent="0.25">
      <c r="A33" s="568">
        <v>25</v>
      </c>
      <c r="B33" s="149" t="s">
        <v>1201</v>
      </c>
      <c r="C33" s="149" t="s">
        <v>939</v>
      </c>
      <c r="D33" s="569">
        <v>47452</v>
      </c>
      <c r="E33" s="405"/>
      <c r="F33" s="405"/>
      <c r="G33" s="405"/>
      <c r="H33" s="405"/>
    </row>
    <row r="34" spans="1:8" s="406" customFormat="1" x14ac:dyDescent="0.25">
      <c r="A34" s="568">
        <v>26</v>
      </c>
      <c r="B34" s="149" t="s">
        <v>946</v>
      </c>
      <c r="C34" s="149" t="s">
        <v>939</v>
      </c>
      <c r="D34" s="569">
        <v>46012</v>
      </c>
      <c r="E34" s="405"/>
      <c r="F34" s="405"/>
      <c r="G34" s="405"/>
      <c r="H34" s="405"/>
    </row>
    <row r="35" spans="1:8" s="406" customFormat="1" x14ac:dyDescent="0.25">
      <c r="A35" s="568">
        <v>27</v>
      </c>
      <c r="B35" s="149" t="s">
        <v>1083</v>
      </c>
      <c r="C35" s="149" t="s">
        <v>947</v>
      </c>
      <c r="D35" s="570">
        <v>45838</v>
      </c>
      <c r="E35" s="405"/>
      <c r="F35" s="405"/>
      <c r="G35" s="405"/>
      <c r="H35" s="405"/>
    </row>
    <row r="36" spans="1:8" s="406" customFormat="1" x14ac:dyDescent="0.25">
      <c r="A36" s="568">
        <v>28</v>
      </c>
      <c r="B36" s="149" t="s">
        <v>1202</v>
      </c>
      <c r="C36" s="149" t="s">
        <v>1203</v>
      </c>
      <c r="D36" s="569">
        <v>46477</v>
      </c>
      <c r="E36" s="405"/>
      <c r="F36" s="405"/>
      <c r="G36" s="405"/>
      <c r="H36" s="405"/>
    </row>
    <row r="37" spans="1:8" s="406" customFormat="1" x14ac:dyDescent="0.25">
      <c r="A37" s="568">
        <v>29</v>
      </c>
      <c r="B37" s="405" t="s">
        <v>973</v>
      </c>
      <c r="C37" s="405" t="s">
        <v>947</v>
      </c>
      <c r="D37" s="571">
        <v>45869</v>
      </c>
      <c r="E37" s="405"/>
      <c r="F37" s="405"/>
      <c r="G37" s="405"/>
      <c r="H37" s="405"/>
    </row>
    <row r="38" spans="1:8" s="406" customFormat="1" x14ac:dyDescent="0.25">
      <c r="A38" s="568">
        <v>30</v>
      </c>
      <c r="B38" s="405" t="s">
        <v>1204</v>
      </c>
      <c r="C38" s="405" t="s">
        <v>974</v>
      </c>
      <c r="D38" s="571">
        <v>48244</v>
      </c>
      <c r="E38" s="405"/>
      <c r="F38" s="405"/>
      <c r="G38" s="405"/>
      <c r="H38" s="405"/>
    </row>
    <row r="39" spans="1:8" s="406" customFormat="1" x14ac:dyDescent="0.25">
      <c r="A39" s="568">
        <v>31</v>
      </c>
      <c r="B39" s="405" t="s">
        <v>1205</v>
      </c>
      <c r="C39" s="405" t="s">
        <v>1206</v>
      </c>
      <c r="D39" s="571">
        <v>46843</v>
      </c>
      <c r="E39" s="405"/>
      <c r="F39" s="405"/>
      <c r="G39" s="405"/>
      <c r="H39" s="405"/>
    </row>
    <row r="40" spans="1:8" s="406" customFormat="1" x14ac:dyDescent="0.25">
      <c r="A40" s="568">
        <v>32</v>
      </c>
      <c r="B40" s="405" t="s">
        <v>1208</v>
      </c>
      <c r="C40" s="405" t="s">
        <v>1209</v>
      </c>
      <c r="D40" s="571">
        <v>46173</v>
      </c>
      <c r="E40" s="405"/>
      <c r="F40" s="405"/>
      <c r="G40" s="405"/>
      <c r="H40" s="405"/>
    </row>
    <row r="41" spans="1:8" s="406" customFormat="1" x14ac:dyDescent="0.25">
      <c r="A41" s="529"/>
      <c r="B41" s="530"/>
      <c r="C41" s="530"/>
      <c r="D41" s="531"/>
      <c r="E41" s="405"/>
      <c r="F41" s="405"/>
      <c r="G41" s="405"/>
      <c r="H41" s="405"/>
    </row>
    <row r="42" spans="1:8" s="150" customFormat="1" ht="14.45" customHeight="1" x14ac:dyDescent="0.25">
      <c r="A42" s="673" t="str">
        <f>IFERROR("Al  "&amp;DAY(Indice!B6)&amp;" de "&amp;VLOOKUP(MONTH(Indice!B6),Indice!P:Q,2,0)&amp;" de "&amp;YEAR(Indice!B6-1)&amp;" no existen situaciones contingentes, ni reclamos que pudieran resultar en la generación de obligaciones para la Sociedad adicionales a las que se presentan en estos estados financieros.","Al … de …………... 20X2 no existen situaciones contingentes, ni reclamos que pudieran resultar en la generación de obligaciones para la Sociedad adicionales a las que se presentan en estos estados financieros.")</f>
        <v>Al  31 de Diciembre de 2024 no existen situaciones contingentes, ni reclamos que pudieran resultar en la generación de obligaciones para la Sociedad adicionales a las que se presentan en estos estados financieros.</v>
      </c>
      <c r="B42" s="673"/>
      <c r="C42" s="673"/>
      <c r="D42" s="673"/>
      <c r="E42" s="673"/>
      <c r="F42" s="149"/>
      <c r="G42" s="149"/>
      <c r="H42" s="149"/>
    </row>
    <row r="43" spans="1:8" s="150" customFormat="1" x14ac:dyDescent="0.25">
      <c r="A43" s="673"/>
      <c r="B43" s="673"/>
      <c r="C43" s="673"/>
      <c r="D43" s="673"/>
      <c r="E43" s="673"/>
      <c r="F43" s="149"/>
      <c r="G43" s="149"/>
      <c r="H43" s="149"/>
    </row>
    <row r="44" spans="1:8" s="150" customFormat="1" ht="42.6" customHeight="1" x14ac:dyDescent="0.25">
      <c r="A44" s="625" t="s">
        <v>354</v>
      </c>
      <c r="B44" s="625"/>
      <c r="C44" s="625"/>
      <c r="D44" s="625"/>
      <c r="E44" s="625"/>
      <c r="F44" s="149"/>
      <c r="G44" s="149"/>
      <c r="H44" s="149"/>
    </row>
  </sheetData>
  <mergeCells count="4">
    <mergeCell ref="A44:E44"/>
    <mergeCell ref="A5:E5"/>
    <mergeCell ref="A6:E6"/>
    <mergeCell ref="A42:E43"/>
  </mergeCells>
  <hyperlinks>
    <hyperlink ref="E1" location="Indice!A1" display="Indice" xr:uid="{00000000-0004-0000-2900-000000000000}"/>
  </hyperlinks>
  <printOptions horizontalCentered="1"/>
  <pageMargins left="0.70866141732283472" right="0.70866141732283472" top="0.74803149606299213" bottom="0.74803149606299213" header="0.31496062992125984" footer="0.31496062992125984"/>
  <pageSetup paperSize="9" scale="78"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Hoja43">
    <tabColor rgb="FFFFFF00"/>
    <pageSetUpPr fitToPage="1"/>
  </sheetPr>
  <dimension ref="A1:AY25"/>
  <sheetViews>
    <sheetView zoomScaleNormal="100" zoomScaleSheetLayoutView="70" workbookViewId="0">
      <selection activeCell="E34" sqref="E34"/>
    </sheetView>
  </sheetViews>
  <sheetFormatPr baseColWidth="10" defaultRowHeight="15" x14ac:dyDescent="0.25"/>
  <cols>
    <col min="1" max="1" width="47.85546875" style="103" customWidth="1"/>
    <col min="2" max="2" width="22.5703125" style="103" customWidth="1"/>
    <col min="3" max="3" width="26.140625" style="103" customWidth="1"/>
    <col min="4" max="51" width="11.5703125" style="103" customWidth="1"/>
  </cols>
  <sheetData>
    <row r="1" spans="1:11" x14ac:dyDescent="0.25">
      <c r="A1" s="103" t="str">
        <f>Indice!C1</f>
        <v>SALLUSTRO Y CIA. S.A.</v>
      </c>
      <c r="D1" s="122" t="s">
        <v>824</v>
      </c>
    </row>
    <row r="4" spans="1:11" x14ac:dyDescent="0.25">
      <c r="A4" s="674" t="s">
        <v>337</v>
      </c>
      <c r="B4" s="674"/>
      <c r="C4" s="674"/>
      <c r="D4" s="674"/>
      <c r="E4" s="674"/>
      <c r="F4" s="674"/>
      <c r="G4" s="674"/>
    </row>
    <row r="5" spans="1:11" x14ac:dyDescent="0.25">
      <c r="A5" s="214" t="s">
        <v>197</v>
      </c>
    </row>
    <row r="6" spans="1:11" ht="59.25" customHeight="1" x14ac:dyDescent="0.25">
      <c r="A6" s="675" t="s">
        <v>351</v>
      </c>
      <c r="B6" s="675"/>
      <c r="C6" s="675"/>
      <c r="D6" s="675"/>
      <c r="E6" s="675"/>
      <c r="F6" s="675"/>
      <c r="G6" s="675"/>
      <c r="H6" s="224"/>
      <c r="I6" s="224"/>
      <c r="J6" s="224"/>
      <c r="K6" s="224"/>
    </row>
    <row r="7" spans="1:11" ht="55.5" customHeight="1" x14ac:dyDescent="0.25">
      <c r="A7" s="676" t="s">
        <v>338</v>
      </c>
      <c r="B7" s="676"/>
      <c r="C7" s="676"/>
      <c r="D7" s="676"/>
      <c r="E7" s="676"/>
      <c r="F7" s="676"/>
      <c r="G7" s="676"/>
      <c r="H7" s="224"/>
      <c r="I7" s="224"/>
      <c r="J7" s="224"/>
      <c r="K7" s="224"/>
    </row>
    <row r="8" spans="1:11" ht="15.75" x14ac:dyDescent="0.25">
      <c r="A8" s="217"/>
    </row>
    <row r="9" spans="1:11" s="103" customFormat="1" ht="21.75" customHeight="1" x14ac:dyDescent="0.25">
      <c r="A9" s="677" t="s">
        <v>339</v>
      </c>
      <c r="B9" s="677"/>
      <c r="C9" s="677"/>
      <c r="D9" s="677"/>
      <c r="E9" s="677"/>
      <c r="F9" s="677"/>
      <c r="G9" s="677"/>
      <c r="H9" s="225"/>
      <c r="I9" s="225"/>
      <c r="J9" s="225"/>
      <c r="K9" s="225"/>
    </row>
    <row r="11" spans="1:11" ht="15" customHeight="1" x14ac:dyDescent="0.25">
      <c r="A11" s="218"/>
      <c r="B11" s="306">
        <f>IFERROR(IF(Indice!B6="","2XX2",YEAR(Indice!B6)),"2XX2")</f>
        <v>2024</v>
      </c>
      <c r="C11" s="306">
        <f>+IFERROR(YEAR(Indice!B6-366),"2XX1")</f>
        <v>2023</v>
      </c>
    </row>
    <row r="12" spans="1:11" ht="15.75" x14ac:dyDescent="0.25">
      <c r="A12" s="218" t="s">
        <v>340</v>
      </c>
      <c r="B12" s="219"/>
      <c r="C12" s="219"/>
    </row>
    <row r="13" spans="1:11" ht="15.75" x14ac:dyDescent="0.25">
      <c r="A13" s="218" t="s">
        <v>341</v>
      </c>
      <c r="B13" s="219"/>
      <c r="C13" s="219"/>
    </row>
    <row r="14" spans="1:11" ht="15.75" x14ac:dyDescent="0.25">
      <c r="A14" s="218" t="s">
        <v>111</v>
      </c>
      <c r="B14" s="219"/>
      <c r="C14" s="219"/>
    </row>
    <row r="15" spans="1:11" ht="15.75" x14ac:dyDescent="0.25">
      <c r="A15" s="218" t="s">
        <v>342</v>
      </c>
      <c r="B15" s="219"/>
      <c r="C15" s="219"/>
    </row>
    <row r="16" spans="1:11" ht="15.75" x14ac:dyDescent="0.25">
      <c r="A16" s="218" t="s">
        <v>343</v>
      </c>
      <c r="B16" s="220"/>
      <c r="C16" s="219"/>
    </row>
    <row r="17" spans="1:3" ht="15.75" x14ac:dyDescent="0.25">
      <c r="A17" s="218" t="s">
        <v>110</v>
      </c>
      <c r="B17" s="220"/>
      <c r="C17" s="219"/>
    </row>
    <row r="18" spans="1:3" ht="15.75" x14ac:dyDescent="0.25">
      <c r="A18" s="218" t="s">
        <v>344</v>
      </c>
      <c r="B18" s="220"/>
      <c r="C18" s="219"/>
    </row>
    <row r="19" spans="1:3" ht="15.75" x14ac:dyDescent="0.25">
      <c r="A19" s="218" t="s">
        <v>345</v>
      </c>
      <c r="B19" s="220"/>
      <c r="C19" s="219"/>
    </row>
    <row r="20" spans="1:3" ht="15.75" x14ac:dyDescent="0.25">
      <c r="A20" s="218" t="s">
        <v>346</v>
      </c>
      <c r="B20" s="220"/>
      <c r="C20" s="219"/>
    </row>
    <row r="21" spans="1:3" ht="15.75" x14ac:dyDescent="0.25">
      <c r="A21" s="218" t="s">
        <v>347</v>
      </c>
      <c r="B21" s="220"/>
      <c r="C21" s="219"/>
    </row>
    <row r="22" spans="1:3" ht="15.75" x14ac:dyDescent="0.25">
      <c r="A22" s="218" t="s">
        <v>348</v>
      </c>
      <c r="B22" s="220"/>
      <c r="C22" s="219"/>
    </row>
    <row r="23" spans="1:3" ht="31.5" x14ac:dyDescent="0.25">
      <c r="A23" s="218" t="s">
        <v>349</v>
      </c>
      <c r="B23" s="220"/>
      <c r="C23" s="219"/>
    </row>
    <row r="24" spans="1:3" ht="15.75" x14ac:dyDescent="0.25">
      <c r="A24" s="218" t="s">
        <v>350</v>
      </c>
      <c r="B24" s="220"/>
      <c r="C24" s="219"/>
    </row>
    <row r="25" spans="1:3" ht="15.75" x14ac:dyDescent="0.25">
      <c r="A25" s="221" t="s">
        <v>2</v>
      </c>
      <c r="B25" s="222"/>
      <c r="C25" s="223"/>
    </row>
  </sheetData>
  <mergeCells count="4">
    <mergeCell ref="A4:G4"/>
    <mergeCell ref="A6:G6"/>
    <mergeCell ref="A7:G7"/>
    <mergeCell ref="A9:G9"/>
  </mergeCells>
  <hyperlinks>
    <hyperlink ref="D1" location="Indice!A1" display="Índice" xr:uid="{00000000-0004-0000-2A00-000000000000}"/>
  </hyperlinks>
  <printOptions horizontalCentered="1"/>
  <pageMargins left="0.70866141732283472" right="0.70866141732283472" top="0.74803149606299213" bottom="0.74803149606299213" header="0.31496062992125984" footer="0.31496062992125984"/>
  <pageSetup paperSize="9" scale="91" orientation="landscape"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Hoja44">
    <tabColor rgb="FF0070C0"/>
    <pageSetUpPr fitToPage="1"/>
  </sheetPr>
  <dimension ref="A1:J55"/>
  <sheetViews>
    <sheetView showGridLines="0" zoomScaleNormal="100" zoomScaleSheetLayoutView="70" workbookViewId="0">
      <selection activeCell="A6" sqref="A6"/>
    </sheetView>
  </sheetViews>
  <sheetFormatPr baseColWidth="10" defaultColWidth="11.5703125" defaultRowHeight="15" x14ac:dyDescent="0.25"/>
  <cols>
    <col min="1" max="5" width="24.42578125" style="103" customWidth="1"/>
    <col min="6" max="10" width="11.5703125" style="103"/>
  </cols>
  <sheetData>
    <row r="1" spans="1:10" x14ac:dyDescent="0.25">
      <c r="A1" s="103" t="str">
        <f>[1]Indice!C1</f>
        <v>SALLUSTRO Y CIA. S..A</v>
      </c>
      <c r="E1" s="122" t="s">
        <v>330</v>
      </c>
    </row>
    <row r="2" spans="1:10" x14ac:dyDescent="0.25">
      <c r="C2" s="111"/>
    </row>
    <row r="5" spans="1:10" x14ac:dyDescent="0.25">
      <c r="A5" s="216" t="s">
        <v>352</v>
      </c>
      <c r="B5" s="216"/>
      <c r="C5" s="216"/>
      <c r="D5" s="216"/>
      <c r="E5" s="216"/>
    </row>
    <row r="6" spans="1:10" s="166" customFormat="1" ht="40.9" customHeight="1" x14ac:dyDescent="0.25">
      <c r="A6" s="149" t="s">
        <v>1162</v>
      </c>
      <c r="B6" s="150"/>
      <c r="C6" s="150"/>
      <c r="D6" s="150"/>
      <c r="E6" s="150"/>
      <c r="F6" s="150"/>
      <c r="G6" s="150"/>
      <c r="H6" s="150"/>
      <c r="I6" s="150"/>
      <c r="J6" s="165"/>
    </row>
    <row r="7" spans="1:10" x14ac:dyDescent="0.25">
      <c r="A7" s="150" t="s">
        <v>1163</v>
      </c>
      <c r="B7" s="150"/>
      <c r="C7" s="150"/>
      <c r="D7" s="150"/>
      <c r="E7" s="150"/>
      <c r="F7" s="150"/>
      <c r="G7" s="150"/>
      <c r="H7" s="150"/>
      <c r="I7" s="150"/>
      <c r="J7"/>
    </row>
    <row r="8" spans="1:10" s="150" customFormat="1" ht="14.45" customHeight="1" x14ac:dyDescent="0.25">
      <c r="A8" s="678" t="s">
        <v>1222</v>
      </c>
      <c r="B8" s="678"/>
      <c r="C8" s="678"/>
      <c r="D8" s="678"/>
      <c r="E8" s="678"/>
      <c r="F8" s="678"/>
      <c r="G8" s="678"/>
      <c r="H8" s="678"/>
      <c r="I8" s="678"/>
    </row>
    <row r="9" spans="1:10" s="150" customFormat="1" ht="69" x14ac:dyDescent="0.25">
      <c r="C9" s="493"/>
    </row>
    <row r="10" spans="1:10" s="150" customFormat="1" x14ac:dyDescent="0.25"/>
    <row r="11" spans="1:10" s="150" customFormat="1" x14ac:dyDescent="0.25">
      <c r="A11" s="678"/>
      <c r="B11" s="678"/>
      <c r="C11" s="678"/>
      <c r="D11" s="678"/>
      <c r="E11" s="678"/>
    </row>
    <row r="12" spans="1:10" s="150" customFormat="1" x14ac:dyDescent="0.25">
      <c r="A12" s="434"/>
      <c r="B12" s="434"/>
      <c r="C12" s="434"/>
      <c r="D12" s="434"/>
      <c r="E12" s="434"/>
    </row>
    <row r="13" spans="1:10" s="150" customFormat="1" x14ac:dyDescent="0.25"/>
    <row r="14" spans="1:10" x14ac:dyDescent="0.25">
      <c r="A14"/>
      <c r="B14"/>
      <c r="C14"/>
      <c r="D14"/>
      <c r="E14"/>
      <c r="F14"/>
      <c r="G14"/>
      <c r="H14"/>
      <c r="I14"/>
      <c r="J14"/>
    </row>
    <row r="15" spans="1:10" x14ac:dyDescent="0.25">
      <c r="A15"/>
      <c r="B15"/>
      <c r="C15"/>
      <c r="D15"/>
      <c r="E15"/>
      <c r="F15"/>
      <c r="G15"/>
      <c r="H15"/>
      <c r="I15"/>
      <c r="J15"/>
    </row>
    <row r="16" spans="1:10" x14ac:dyDescent="0.25">
      <c r="A16"/>
      <c r="B16"/>
      <c r="C16"/>
      <c r="D16"/>
      <c r="E16"/>
      <c r="F16"/>
      <c r="G16"/>
      <c r="H16"/>
      <c r="I16"/>
      <c r="J16"/>
    </row>
    <row r="17" spans="1:5" customFormat="1" x14ac:dyDescent="0.25">
      <c r="A17" s="435"/>
      <c r="B17" s="436"/>
    </row>
    <row r="18" spans="1:5" customFormat="1" x14ac:dyDescent="0.25"/>
    <row r="19" spans="1:5" customFormat="1" x14ac:dyDescent="0.25"/>
    <row r="20" spans="1:5" customFormat="1" ht="14.45" customHeight="1" x14ac:dyDescent="0.25">
      <c r="A20" s="679"/>
      <c r="B20" s="679"/>
      <c r="C20" s="679"/>
      <c r="D20" s="679"/>
      <c r="E20" s="679"/>
    </row>
    <row r="21" spans="1:5" customFormat="1" x14ac:dyDescent="0.25">
      <c r="A21" s="679"/>
      <c r="B21" s="679"/>
      <c r="C21" s="679"/>
      <c r="D21" s="679"/>
      <c r="E21" s="679"/>
    </row>
    <row r="22" spans="1:5" customFormat="1" x14ac:dyDescent="0.25">
      <c r="A22" s="84"/>
    </row>
    <row r="23" spans="1:5" customFormat="1" x14ac:dyDescent="0.25"/>
    <row r="24" spans="1:5" customFormat="1" x14ac:dyDescent="0.25"/>
    <row r="25" spans="1:5" customFormat="1" x14ac:dyDescent="0.25"/>
    <row r="26" spans="1:5" customFormat="1" x14ac:dyDescent="0.25"/>
    <row r="27" spans="1:5" customFormat="1" x14ac:dyDescent="0.25"/>
    <row r="28" spans="1:5" customFormat="1" x14ac:dyDescent="0.25">
      <c r="A28" s="84"/>
    </row>
    <row r="29" spans="1:5" customFormat="1" x14ac:dyDescent="0.25"/>
    <row r="30" spans="1:5" customFormat="1" x14ac:dyDescent="0.25"/>
    <row r="31" spans="1:5" customFormat="1" ht="15" customHeight="1" x14ac:dyDescent="0.25">
      <c r="A31" s="679"/>
      <c r="B31" s="679"/>
      <c r="C31" s="679"/>
      <c r="D31" s="679"/>
      <c r="E31" s="679"/>
    </row>
    <row r="32" spans="1:5" customFormat="1" ht="15" customHeight="1" x14ac:dyDescent="0.25">
      <c r="A32" s="679"/>
      <c r="B32" s="679"/>
      <c r="C32" s="679"/>
      <c r="D32" s="679"/>
      <c r="E32" s="679"/>
    </row>
    <row r="33" spans="1:5" customFormat="1" ht="16.899999999999999" customHeight="1" x14ac:dyDescent="0.25">
      <c r="A33" s="437"/>
    </row>
    <row r="34" spans="1:5" customFormat="1" ht="15" customHeight="1" x14ac:dyDescent="0.25">
      <c r="A34" s="84"/>
    </row>
    <row r="35" spans="1:5" customFormat="1" x14ac:dyDescent="0.25"/>
    <row r="36" spans="1:5" customFormat="1" x14ac:dyDescent="0.25">
      <c r="A36" s="680"/>
      <c r="B36" s="680"/>
      <c r="C36" s="680"/>
      <c r="D36" s="680"/>
      <c r="E36" s="680"/>
    </row>
    <row r="37" spans="1:5" customFormat="1" x14ac:dyDescent="0.25"/>
    <row r="38" spans="1:5" customFormat="1" x14ac:dyDescent="0.25">
      <c r="A38" s="84"/>
    </row>
    <row r="39" spans="1:5" customFormat="1" x14ac:dyDescent="0.25"/>
    <row r="40" spans="1:5" customFormat="1" x14ac:dyDescent="0.25"/>
    <row r="41" spans="1:5" customFormat="1" x14ac:dyDescent="0.25"/>
    <row r="42" spans="1:5" customFormat="1" x14ac:dyDescent="0.25"/>
    <row r="43" spans="1:5" customFormat="1" x14ac:dyDescent="0.25"/>
    <row r="44" spans="1:5" customFormat="1" x14ac:dyDescent="0.25">
      <c r="A44" s="84"/>
    </row>
    <row r="45" spans="1:5" customFormat="1" x14ac:dyDescent="0.25"/>
    <row r="46" spans="1:5" customFormat="1" x14ac:dyDescent="0.25"/>
    <row r="47" spans="1:5" customFormat="1" x14ac:dyDescent="0.25"/>
    <row r="48" spans="1:5" customFormat="1" x14ac:dyDescent="0.25"/>
    <row r="49" spans="1:1" customFormat="1" x14ac:dyDescent="0.25">
      <c r="A49" s="84"/>
    </row>
    <row r="50" spans="1:1" s="150" customFormat="1" x14ac:dyDescent="0.25"/>
    <row r="51" spans="1:1" s="150" customFormat="1" x14ac:dyDescent="0.25"/>
    <row r="52" spans="1:1" s="150" customFormat="1" x14ac:dyDescent="0.25"/>
    <row r="53" spans="1:1" s="150" customFormat="1" x14ac:dyDescent="0.25"/>
    <row r="54" spans="1:1" s="150" customFormat="1" x14ac:dyDescent="0.25"/>
    <row r="55" spans="1:1" s="150" customFormat="1" x14ac:dyDescent="0.25"/>
  </sheetData>
  <mergeCells count="5">
    <mergeCell ref="A11:E11"/>
    <mergeCell ref="A20:E21"/>
    <mergeCell ref="A31:E32"/>
    <mergeCell ref="A36:E36"/>
    <mergeCell ref="A8:I8"/>
  </mergeCells>
  <hyperlinks>
    <hyperlink ref="E1" location="Indice!A1" display="Indice" xr:uid="{00000000-0004-0000-2B00-000000000000}"/>
  </hyperlinks>
  <printOptions horizontalCentered="1"/>
  <pageMargins left="0.70866141732283472" right="0.70866141732283472" top="0.74803149606299213" bottom="0.74803149606299213" header="0.31496062992125984" footer="0.31496062992125984"/>
  <pageSetup paperSize="9" scale="54" orientation="landscape" r:id="rId1"/>
  <colBreaks count="1" manualBreakCount="1">
    <brk id="5"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FF00"/>
    <pageSetUpPr fitToPage="1"/>
  </sheetPr>
  <dimension ref="A1:D71"/>
  <sheetViews>
    <sheetView showGridLines="0" topLeftCell="A52" zoomScaleNormal="100" zoomScaleSheetLayoutView="70" workbookViewId="0">
      <selection activeCell="C43" sqref="C43"/>
    </sheetView>
  </sheetViews>
  <sheetFormatPr baseColWidth="10" defaultRowHeight="15" x14ac:dyDescent="0.25"/>
  <cols>
    <col min="1" max="1" width="50" customWidth="1"/>
    <col min="2" max="2" width="17" customWidth="1"/>
    <col min="3" max="3" width="17.5703125" customWidth="1"/>
    <col min="4" max="4" width="12" bestFit="1" customWidth="1"/>
  </cols>
  <sheetData>
    <row r="1" spans="1:4" x14ac:dyDescent="0.25">
      <c r="A1" t="str">
        <f>Indice!C1</f>
        <v>SALLUSTRO Y CIA. S.A.</v>
      </c>
      <c r="C1" s="342" t="s">
        <v>330</v>
      </c>
      <c r="D1" s="121"/>
    </row>
    <row r="5" spans="1:4" x14ac:dyDescent="0.25">
      <c r="A5" s="341" t="s">
        <v>821</v>
      </c>
      <c r="B5" s="341"/>
      <c r="C5" s="341"/>
    </row>
    <row r="6" spans="1:4" x14ac:dyDescent="0.25">
      <c r="A6" s="340" t="s">
        <v>215</v>
      </c>
      <c r="B6" s="332"/>
      <c r="C6" s="332"/>
    </row>
    <row r="7" spans="1:4" x14ac:dyDescent="0.25">
      <c r="A7" s="332"/>
      <c r="B7" s="332"/>
      <c r="C7" s="332"/>
    </row>
    <row r="8" spans="1:4" x14ac:dyDescent="0.25">
      <c r="A8" s="333"/>
      <c r="B8" s="306">
        <f>IFERROR(IF(Indice!B6="","2XX2",YEAR(Indice!B6)),"2XX2")</f>
        <v>2024</v>
      </c>
      <c r="C8" s="306">
        <f>+IFERROR(YEAR(Indice!B6-366),"2XX1")</f>
        <v>2023</v>
      </c>
    </row>
    <row r="9" spans="1:4" x14ac:dyDescent="0.25">
      <c r="A9" s="334" t="s">
        <v>813</v>
      </c>
      <c r="B9" s="370"/>
      <c r="C9" s="370"/>
    </row>
    <row r="10" spans="1:4" x14ac:dyDescent="0.25">
      <c r="A10" s="335" t="s">
        <v>98</v>
      </c>
      <c r="B10" s="370"/>
      <c r="C10" s="370"/>
    </row>
    <row r="11" spans="1:4" x14ac:dyDescent="0.25">
      <c r="A11" s="542" t="s">
        <v>1138</v>
      </c>
      <c r="B11" s="370"/>
      <c r="C11" s="370"/>
    </row>
    <row r="12" spans="1:4" x14ac:dyDescent="0.25">
      <c r="A12" s="335" t="s">
        <v>1143</v>
      </c>
      <c r="B12" s="371">
        <f>2432268390-3482020</f>
        <v>2428786370</v>
      </c>
      <c r="C12" s="371">
        <v>117970199</v>
      </c>
    </row>
    <row r="13" spans="1:4" x14ac:dyDescent="0.25">
      <c r="A13" s="335" t="s">
        <v>1140</v>
      </c>
      <c r="B13" s="371">
        <v>0</v>
      </c>
      <c r="C13" s="371">
        <v>574705262.63999999</v>
      </c>
    </row>
    <row r="14" spans="1:4" x14ac:dyDescent="0.25">
      <c r="A14" s="335" t="s">
        <v>1141</v>
      </c>
      <c r="B14" s="371">
        <f>106077006-9988033+36436607</f>
        <v>132525580</v>
      </c>
      <c r="C14" s="371">
        <v>62406465</v>
      </c>
    </row>
    <row r="15" spans="1:4" x14ac:dyDescent="0.25">
      <c r="A15" s="335" t="s">
        <v>1142</v>
      </c>
      <c r="B15" s="371">
        <v>213200000</v>
      </c>
      <c r="C15" s="371">
        <v>213200000</v>
      </c>
    </row>
    <row r="16" spans="1:4" x14ac:dyDescent="0.25">
      <c r="A16" s="335" t="s">
        <v>1144</v>
      </c>
      <c r="B16" s="371">
        <v>2123673884.8</v>
      </c>
      <c r="C16" s="371">
        <v>0</v>
      </c>
    </row>
    <row r="17" spans="1:3" x14ac:dyDescent="0.25">
      <c r="A17" s="335" t="s">
        <v>1145</v>
      </c>
      <c r="B17" s="371">
        <v>156401191.25999999</v>
      </c>
      <c r="C17" s="371">
        <v>158128862.75</v>
      </c>
    </row>
    <row r="18" spans="1:3" x14ac:dyDescent="0.25">
      <c r="A18" s="542" t="s">
        <v>1139</v>
      </c>
      <c r="B18" s="370"/>
      <c r="C18" s="370"/>
    </row>
    <row r="19" spans="1:3" x14ac:dyDescent="0.25">
      <c r="A19" s="335" t="s">
        <v>1146</v>
      </c>
      <c r="B19" s="370">
        <v>0</v>
      </c>
      <c r="C19" s="370">
        <v>154094049</v>
      </c>
    </row>
    <row r="20" spans="1:3" x14ac:dyDescent="0.25">
      <c r="A20" s="335" t="s">
        <v>1147</v>
      </c>
      <c r="B20" s="370">
        <v>0</v>
      </c>
      <c r="C20" s="370">
        <v>1372301860.49</v>
      </c>
    </row>
    <row r="21" spans="1:3" x14ac:dyDescent="0.25">
      <c r="A21" s="335" t="s">
        <v>1148</v>
      </c>
      <c r="B21" s="370">
        <v>15587410.82</v>
      </c>
      <c r="C21" s="370">
        <v>2322912021.8200002</v>
      </c>
    </row>
    <row r="22" spans="1:3" x14ac:dyDescent="0.25">
      <c r="A22" s="335" t="s">
        <v>1164</v>
      </c>
      <c r="B22" s="371">
        <v>0</v>
      </c>
      <c r="C22" s="371">
        <v>1974534305.5999999</v>
      </c>
    </row>
    <row r="23" spans="1:3" x14ac:dyDescent="0.25">
      <c r="A23" s="335" t="s">
        <v>34</v>
      </c>
      <c r="B23" s="370"/>
      <c r="C23" s="370"/>
    </row>
    <row r="24" spans="1:3" x14ac:dyDescent="0.25">
      <c r="A24" s="334" t="s">
        <v>814</v>
      </c>
      <c r="B24" s="390">
        <f>SUM(B10:B23)</f>
        <v>5070174436.8800001</v>
      </c>
      <c r="C24" s="390">
        <f>SUM(C10:C23)</f>
        <v>6950253026.3000011</v>
      </c>
    </row>
    <row r="25" spans="1:3" x14ac:dyDescent="0.25">
      <c r="A25" s="334" t="s">
        <v>815</v>
      </c>
      <c r="B25" s="370"/>
      <c r="C25" s="370"/>
    </row>
    <row r="26" spans="1:3" x14ac:dyDescent="0.25">
      <c r="A26" s="335" t="s">
        <v>99</v>
      </c>
      <c r="B26" s="370"/>
      <c r="C26" s="370"/>
    </row>
    <row r="27" spans="1:3" x14ac:dyDescent="0.25">
      <c r="A27" s="542" t="s">
        <v>100</v>
      </c>
      <c r="B27" s="370"/>
      <c r="C27" s="370"/>
    </row>
    <row r="28" spans="1:3" x14ac:dyDescent="0.25">
      <c r="A28" s="335" t="s">
        <v>1088</v>
      </c>
      <c r="B28" s="492">
        <v>0</v>
      </c>
      <c r="C28" s="492">
        <v>441292148.13999999</v>
      </c>
    </row>
    <row r="29" spans="1:3" x14ac:dyDescent="0.25">
      <c r="A29" s="335" t="s">
        <v>905</v>
      </c>
      <c r="B29" s="371">
        <v>0</v>
      </c>
      <c r="C29" s="371">
        <v>150000000</v>
      </c>
    </row>
    <row r="30" spans="1:3" x14ac:dyDescent="0.25">
      <c r="A30" s="542" t="s">
        <v>816</v>
      </c>
      <c r="B30" s="370"/>
      <c r="C30" s="370"/>
    </row>
    <row r="31" spans="1:3" x14ac:dyDescent="0.25">
      <c r="A31" s="335" t="s">
        <v>1239</v>
      </c>
      <c r="B31" s="371">
        <v>150000000</v>
      </c>
      <c r="C31" s="370">
        <v>0</v>
      </c>
    </row>
    <row r="32" spans="1:3" x14ac:dyDescent="0.25">
      <c r="A32" s="335" t="s">
        <v>1240</v>
      </c>
      <c r="B32" s="371">
        <v>150000000</v>
      </c>
      <c r="C32" s="370"/>
    </row>
    <row r="33" spans="1:3" x14ac:dyDescent="0.25">
      <c r="A33" s="335" t="s">
        <v>1241</v>
      </c>
      <c r="B33" s="371">
        <v>255000000</v>
      </c>
      <c r="C33" s="370"/>
    </row>
    <row r="34" spans="1:3" x14ac:dyDescent="0.25">
      <c r="A34" s="335" t="s">
        <v>1242</v>
      </c>
      <c r="B34" s="371">
        <v>1000000000</v>
      </c>
      <c r="C34" s="370"/>
    </row>
    <row r="35" spans="1:3" x14ac:dyDescent="0.25">
      <c r="A35" s="335" t="s">
        <v>1243</v>
      </c>
      <c r="B35" s="371">
        <v>700000000</v>
      </c>
      <c r="C35" s="370"/>
    </row>
    <row r="36" spans="1:3" x14ac:dyDescent="0.25">
      <c r="A36" s="335" t="s">
        <v>1087</v>
      </c>
      <c r="B36" s="492">
        <v>392170500</v>
      </c>
      <c r="C36" s="492">
        <v>364181000</v>
      </c>
    </row>
    <row r="37" spans="1:3" x14ac:dyDescent="0.25">
      <c r="A37" s="335" t="s">
        <v>817</v>
      </c>
      <c r="B37" s="370"/>
      <c r="C37" s="370"/>
    </row>
    <row r="38" spans="1:3" x14ac:dyDescent="0.25">
      <c r="A38" s="334" t="s">
        <v>818</v>
      </c>
      <c r="B38" s="408">
        <f>SUM(B26:B37)</f>
        <v>2647170500</v>
      </c>
      <c r="C38" s="408">
        <f>SUM(C26:C37)</f>
        <v>955473148.13999999</v>
      </c>
    </row>
    <row r="39" spans="1:3" x14ac:dyDescent="0.25">
      <c r="A39" s="332"/>
      <c r="B39" s="332"/>
      <c r="C39" s="332"/>
    </row>
    <row r="41" spans="1:3" x14ac:dyDescent="0.25">
      <c r="A41" s="336"/>
      <c r="B41" s="336"/>
      <c r="C41" s="336"/>
    </row>
    <row r="42" spans="1:3" x14ac:dyDescent="0.25">
      <c r="A42" s="337"/>
      <c r="B42" s="306">
        <f>IFERROR(IF(Indice!B6="","2XX2",YEAR(Indice!B6)),"2XX2")</f>
        <v>2024</v>
      </c>
      <c r="C42" s="306">
        <f>+IFERROR(YEAR(Indice!B6-366),"2XX1")</f>
        <v>2023</v>
      </c>
    </row>
    <row r="43" spans="1:3" x14ac:dyDescent="0.25">
      <c r="A43" s="338" t="s">
        <v>136</v>
      </c>
      <c r="B43" s="372"/>
      <c r="C43" s="372"/>
    </row>
    <row r="44" spans="1:3" x14ac:dyDescent="0.25">
      <c r="A44" s="339" t="s">
        <v>819</v>
      </c>
      <c r="B44" s="372"/>
      <c r="C44" s="372"/>
    </row>
    <row r="45" spans="1:3" x14ac:dyDescent="0.25">
      <c r="A45" s="339"/>
      <c r="B45" s="372"/>
      <c r="C45" s="372"/>
    </row>
    <row r="46" spans="1:3" x14ac:dyDescent="0.25">
      <c r="A46" s="338" t="s">
        <v>163</v>
      </c>
      <c r="B46" s="372"/>
      <c r="C46" s="372"/>
    </row>
    <row r="47" spans="1:3" s="84" customFormat="1" x14ac:dyDescent="0.25">
      <c r="A47" s="338" t="s">
        <v>1089</v>
      </c>
      <c r="B47" s="409"/>
      <c r="C47" s="409"/>
    </row>
    <row r="48" spans="1:3" x14ac:dyDescent="0.25">
      <c r="A48" s="339" t="s">
        <v>906</v>
      </c>
      <c r="B48" s="372">
        <v>120000000</v>
      </c>
      <c r="C48" s="372">
        <v>143000000</v>
      </c>
    </row>
    <row r="49" spans="1:4" x14ac:dyDescent="0.25">
      <c r="A49" s="339" t="s">
        <v>907</v>
      </c>
      <c r="B49" s="372">
        <v>1023454545.49</v>
      </c>
      <c r="C49" s="372">
        <v>0</v>
      </c>
    </row>
    <row r="50" spans="1:4" x14ac:dyDescent="0.25">
      <c r="A50" s="339" t="s">
        <v>908</v>
      </c>
      <c r="B50" s="372">
        <v>120000000</v>
      </c>
      <c r="C50" s="372">
        <v>143000000</v>
      </c>
    </row>
    <row r="51" spans="1:4" x14ac:dyDescent="0.25">
      <c r="A51" s="339" t="s">
        <v>909</v>
      </c>
      <c r="B51" s="372">
        <v>120000000</v>
      </c>
      <c r="C51" s="372">
        <v>143000000</v>
      </c>
    </row>
    <row r="52" spans="1:4" x14ac:dyDescent="0.25">
      <c r="A52" s="339" t="s">
        <v>910</v>
      </c>
      <c r="B52" s="372">
        <v>120000000</v>
      </c>
      <c r="C52" s="372">
        <v>143000000</v>
      </c>
    </row>
    <row r="53" spans="1:4" x14ac:dyDescent="0.25">
      <c r="A53" s="339" t="s">
        <v>911</v>
      </c>
      <c r="B53" s="372">
        <v>120000000</v>
      </c>
      <c r="C53" s="372">
        <v>143000000</v>
      </c>
    </row>
    <row r="54" spans="1:4" x14ac:dyDescent="0.25">
      <c r="A54" s="339" t="s">
        <v>912</v>
      </c>
      <c r="B54" s="372">
        <v>120000000</v>
      </c>
      <c r="C54" s="372">
        <f t="shared" ref="C54" si="0">12*11000000</f>
        <v>132000000</v>
      </c>
      <c r="D54" s="572"/>
    </row>
    <row r="55" spans="1:4" x14ac:dyDescent="0.25">
      <c r="A55" s="338" t="s">
        <v>1149</v>
      </c>
      <c r="B55" s="372"/>
      <c r="C55" s="372"/>
    </row>
    <row r="56" spans="1:4" x14ac:dyDescent="0.25">
      <c r="A56" s="339" t="s">
        <v>906</v>
      </c>
      <c r="B56" s="372">
        <v>1079187389.0699999</v>
      </c>
      <c r="C56" s="372">
        <v>881857166.66666663</v>
      </c>
    </row>
    <row r="57" spans="1:4" x14ac:dyDescent="0.25">
      <c r="A57" s="339" t="s">
        <v>907</v>
      </c>
      <c r="B57" s="372">
        <v>0</v>
      </c>
      <c r="C57" s="372">
        <v>1012483333.3333334</v>
      </c>
    </row>
    <row r="58" spans="1:4" x14ac:dyDescent="0.25">
      <c r="A58" s="339" t="s">
        <v>908</v>
      </c>
      <c r="B58" s="372">
        <v>322000000</v>
      </c>
      <c r="C58" s="372">
        <v>226416666.66666666</v>
      </c>
    </row>
    <row r="59" spans="1:4" x14ac:dyDescent="0.25">
      <c r="A59" s="339" t="s">
        <v>909</v>
      </c>
      <c r="B59" s="372">
        <f>58000000+576000000</f>
        <v>634000000</v>
      </c>
      <c r="C59" s="372">
        <v>569616666.66666663</v>
      </c>
    </row>
    <row r="60" spans="1:4" x14ac:dyDescent="0.25">
      <c r="A60" s="339" t="s">
        <v>910</v>
      </c>
      <c r="B60" s="372">
        <f>58000000+576000000</f>
        <v>634000000</v>
      </c>
      <c r="C60" s="372">
        <v>569616666.66666663</v>
      </c>
    </row>
    <row r="61" spans="1:4" x14ac:dyDescent="0.25">
      <c r="A61" s="339" t="s">
        <v>911</v>
      </c>
      <c r="B61" s="372">
        <v>657624280.90999997</v>
      </c>
      <c r="C61" s="372">
        <v>569616666.66666663</v>
      </c>
    </row>
    <row r="62" spans="1:4" x14ac:dyDescent="0.25">
      <c r="A62" s="339" t="s">
        <v>912</v>
      </c>
      <c r="B62" s="372">
        <v>452000000</v>
      </c>
      <c r="C62" s="372">
        <v>369416666.66666669</v>
      </c>
    </row>
    <row r="63" spans="1:4" x14ac:dyDescent="0.25">
      <c r="A63" s="338" t="s">
        <v>1151</v>
      </c>
      <c r="B63" s="372"/>
      <c r="C63" s="372"/>
    </row>
    <row r="64" spans="1:4" x14ac:dyDescent="0.25">
      <c r="A64" s="339" t="s">
        <v>910</v>
      </c>
      <c r="B64" s="372">
        <v>0</v>
      </c>
      <c r="C64" s="372">
        <v>320000000</v>
      </c>
    </row>
    <row r="65" spans="1:3" x14ac:dyDescent="0.25">
      <c r="A65" s="338" t="s">
        <v>820</v>
      </c>
      <c r="B65" s="372"/>
      <c r="C65" s="372"/>
    </row>
    <row r="66" spans="1:3" x14ac:dyDescent="0.25">
      <c r="A66" s="339" t="s">
        <v>1150</v>
      </c>
      <c r="B66" s="372">
        <v>14886363.640000001</v>
      </c>
      <c r="C66" s="372">
        <f>7750000+7500000</f>
        <v>15250000</v>
      </c>
    </row>
    <row r="67" spans="1:3" x14ac:dyDescent="0.25">
      <c r="A67" s="339" t="s">
        <v>1244</v>
      </c>
      <c r="B67" s="372">
        <v>11250000</v>
      </c>
      <c r="C67" s="372">
        <v>0</v>
      </c>
    </row>
    <row r="68" spans="1:3" x14ac:dyDescent="0.25">
      <c r="A68" s="339" t="s">
        <v>1245</v>
      </c>
      <c r="B68" s="372">
        <v>49999999</v>
      </c>
      <c r="C68" s="372">
        <v>0</v>
      </c>
    </row>
    <row r="69" spans="1:3" x14ac:dyDescent="0.25">
      <c r="A69" s="339" t="s">
        <v>1246</v>
      </c>
      <c r="B69" s="372">
        <v>11126028</v>
      </c>
      <c r="C69" s="372"/>
    </row>
    <row r="70" spans="1:3" x14ac:dyDescent="0.25">
      <c r="A70" s="338" t="s">
        <v>1210</v>
      </c>
      <c r="B70" s="372"/>
      <c r="C70" s="372"/>
    </row>
    <row r="71" spans="1:3" x14ac:dyDescent="0.25">
      <c r="A71" s="339" t="s">
        <v>906</v>
      </c>
      <c r="B71" s="372">
        <v>0</v>
      </c>
      <c r="C71" s="372">
        <v>97064000</v>
      </c>
    </row>
  </sheetData>
  <hyperlinks>
    <hyperlink ref="C1" location="Indice!A1" display="Indice" xr:uid="{00000000-0004-0000-2C00-000000000000}"/>
  </hyperlinks>
  <printOptions horizontalCentered="1"/>
  <pageMargins left="0.70866141732283472" right="0.70866141732283472" top="0.74803149606299213" bottom="0.74803149606299213" header="0.31496062992125984" footer="0.31496062992125984"/>
  <pageSetup paperSize="9" scale="87"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C179"/>
  <sheetViews>
    <sheetView topLeftCell="A79" zoomScaleNormal="100" zoomScaleSheetLayoutView="70" workbookViewId="0">
      <selection activeCell="C1" sqref="C1"/>
    </sheetView>
  </sheetViews>
  <sheetFormatPr baseColWidth="10" defaultRowHeight="15" x14ac:dyDescent="0.25"/>
  <cols>
    <col min="1" max="1" width="11.42578125" customWidth="1"/>
    <col min="2" max="2" width="66.140625" bestFit="1" customWidth="1"/>
  </cols>
  <sheetData>
    <row r="1" spans="1:3" x14ac:dyDescent="0.25">
      <c r="A1" t="s">
        <v>376</v>
      </c>
      <c r="B1" t="s">
        <v>688</v>
      </c>
      <c r="C1" s="121" t="s">
        <v>824</v>
      </c>
    </row>
    <row r="2" spans="1:3" x14ac:dyDescent="0.25">
      <c r="A2" t="s">
        <v>375</v>
      </c>
      <c r="B2" t="s">
        <v>554</v>
      </c>
    </row>
    <row r="3" spans="1:3" x14ac:dyDescent="0.25">
      <c r="A3" t="s">
        <v>456</v>
      </c>
      <c r="B3" t="s">
        <v>620</v>
      </c>
    </row>
    <row r="4" spans="1:3" x14ac:dyDescent="0.25">
      <c r="A4" t="s">
        <v>412</v>
      </c>
      <c r="B4" t="s">
        <v>413</v>
      </c>
    </row>
    <row r="5" spans="1:3" x14ac:dyDescent="0.25">
      <c r="A5" t="s">
        <v>414</v>
      </c>
      <c r="B5" t="s">
        <v>568</v>
      </c>
    </row>
    <row r="6" spans="1:3" x14ac:dyDescent="0.25">
      <c r="A6" t="s">
        <v>415</v>
      </c>
      <c r="B6" t="s">
        <v>569</v>
      </c>
    </row>
    <row r="7" spans="1:3" x14ac:dyDescent="0.25">
      <c r="A7" t="s">
        <v>416</v>
      </c>
      <c r="B7" t="s">
        <v>570</v>
      </c>
    </row>
    <row r="8" spans="1:3" x14ac:dyDescent="0.25">
      <c r="A8" t="s">
        <v>417</v>
      </c>
      <c r="B8" t="s">
        <v>571</v>
      </c>
    </row>
    <row r="9" spans="1:3" x14ac:dyDescent="0.25">
      <c r="A9" t="s">
        <v>418</v>
      </c>
      <c r="B9" t="s">
        <v>572</v>
      </c>
    </row>
    <row r="10" spans="1:3" x14ac:dyDescent="0.25">
      <c r="A10" t="s">
        <v>419</v>
      </c>
      <c r="B10" t="s">
        <v>573</v>
      </c>
    </row>
    <row r="11" spans="1:3" x14ac:dyDescent="0.25">
      <c r="A11" t="s">
        <v>420</v>
      </c>
      <c r="B11" t="s">
        <v>574</v>
      </c>
    </row>
    <row r="12" spans="1:3" x14ac:dyDescent="0.25">
      <c r="A12" t="s">
        <v>421</v>
      </c>
      <c r="B12" t="s">
        <v>575</v>
      </c>
    </row>
    <row r="13" spans="1:3" x14ac:dyDescent="0.25">
      <c r="A13" t="s">
        <v>422</v>
      </c>
      <c r="B13" t="s">
        <v>576</v>
      </c>
    </row>
    <row r="14" spans="1:3" x14ac:dyDescent="0.25">
      <c r="A14" t="s">
        <v>423</v>
      </c>
      <c r="B14" t="s">
        <v>577</v>
      </c>
    </row>
    <row r="15" spans="1:3" x14ac:dyDescent="0.25">
      <c r="A15" t="s">
        <v>424</v>
      </c>
      <c r="B15" t="s">
        <v>578</v>
      </c>
    </row>
    <row r="16" spans="1:3" x14ac:dyDescent="0.25">
      <c r="A16" t="s">
        <v>425</v>
      </c>
      <c r="B16" t="s">
        <v>579</v>
      </c>
    </row>
    <row r="17" spans="1:2" x14ac:dyDescent="0.25">
      <c r="A17" t="s">
        <v>426</v>
      </c>
      <c r="B17" t="s">
        <v>580</v>
      </c>
    </row>
    <row r="18" spans="1:2" x14ac:dyDescent="0.25">
      <c r="A18" t="s">
        <v>427</v>
      </c>
      <c r="B18" t="s">
        <v>581</v>
      </c>
    </row>
    <row r="19" spans="1:2" x14ac:dyDescent="0.25">
      <c r="A19" t="s">
        <v>428</v>
      </c>
      <c r="B19" t="s">
        <v>582</v>
      </c>
    </row>
    <row r="20" spans="1:2" x14ac:dyDescent="0.25">
      <c r="A20" t="s">
        <v>429</v>
      </c>
      <c r="B20" t="s">
        <v>583</v>
      </c>
    </row>
    <row r="21" spans="1:2" x14ac:dyDescent="0.25">
      <c r="A21" t="s">
        <v>430</v>
      </c>
      <c r="B21" t="s">
        <v>584</v>
      </c>
    </row>
    <row r="22" spans="1:2" x14ac:dyDescent="0.25">
      <c r="A22" t="s">
        <v>431</v>
      </c>
      <c r="B22" t="s">
        <v>585</v>
      </c>
    </row>
    <row r="23" spans="1:2" x14ac:dyDescent="0.25">
      <c r="A23" t="s">
        <v>586</v>
      </c>
      <c r="B23" t="s">
        <v>587</v>
      </c>
    </row>
    <row r="24" spans="1:2" x14ac:dyDescent="0.25">
      <c r="A24" t="s">
        <v>432</v>
      </c>
      <c r="B24" t="s">
        <v>588</v>
      </c>
    </row>
    <row r="25" spans="1:2" x14ac:dyDescent="0.25">
      <c r="A25" t="s">
        <v>433</v>
      </c>
      <c r="B25" t="s">
        <v>589</v>
      </c>
    </row>
    <row r="26" spans="1:2" x14ac:dyDescent="0.25">
      <c r="A26" t="s">
        <v>434</v>
      </c>
      <c r="B26" t="s">
        <v>590</v>
      </c>
    </row>
    <row r="27" spans="1:2" x14ac:dyDescent="0.25">
      <c r="A27" t="s">
        <v>435</v>
      </c>
      <c r="B27" t="s">
        <v>591</v>
      </c>
    </row>
    <row r="28" spans="1:2" x14ac:dyDescent="0.25">
      <c r="A28" t="s">
        <v>436</v>
      </c>
      <c r="B28" t="s">
        <v>592</v>
      </c>
    </row>
    <row r="29" spans="1:2" x14ac:dyDescent="0.25">
      <c r="A29" t="s">
        <v>437</v>
      </c>
      <c r="B29" t="s">
        <v>593</v>
      </c>
    </row>
    <row r="30" spans="1:2" x14ac:dyDescent="0.25">
      <c r="A30" t="s">
        <v>438</v>
      </c>
      <c r="B30" t="s">
        <v>594</v>
      </c>
    </row>
    <row r="31" spans="1:2" x14ac:dyDescent="0.25">
      <c r="A31" t="s">
        <v>439</v>
      </c>
      <c r="B31" t="s">
        <v>595</v>
      </c>
    </row>
    <row r="32" spans="1:2" x14ac:dyDescent="0.25">
      <c r="A32" t="s">
        <v>596</v>
      </c>
      <c r="B32" t="s">
        <v>597</v>
      </c>
    </row>
    <row r="33" spans="1:2" x14ac:dyDescent="0.25">
      <c r="A33" t="s">
        <v>440</v>
      </c>
      <c r="B33" t="s">
        <v>598</v>
      </c>
    </row>
    <row r="34" spans="1:2" x14ac:dyDescent="0.25">
      <c r="A34" t="s">
        <v>599</v>
      </c>
      <c r="B34" t="s">
        <v>600</v>
      </c>
    </row>
    <row r="35" spans="1:2" x14ac:dyDescent="0.25">
      <c r="A35" t="s">
        <v>601</v>
      </c>
      <c r="B35" t="s">
        <v>602</v>
      </c>
    </row>
    <row r="36" spans="1:2" x14ac:dyDescent="0.25">
      <c r="A36" t="s">
        <v>441</v>
      </c>
      <c r="B36" t="s">
        <v>603</v>
      </c>
    </row>
    <row r="37" spans="1:2" x14ac:dyDescent="0.25">
      <c r="A37" t="s">
        <v>442</v>
      </c>
      <c r="B37" t="s">
        <v>604</v>
      </c>
    </row>
    <row r="38" spans="1:2" x14ac:dyDescent="0.25">
      <c r="A38" t="s">
        <v>443</v>
      </c>
      <c r="B38" t="s">
        <v>605</v>
      </c>
    </row>
    <row r="39" spans="1:2" x14ac:dyDescent="0.25">
      <c r="A39" t="s">
        <v>606</v>
      </c>
      <c r="B39" t="s">
        <v>607</v>
      </c>
    </row>
    <row r="40" spans="1:2" x14ac:dyDescent="0.25">
      <c r="A40" t="s">
        <v>444</v>
      </c>
      <c r="B40" t="s">
        <v>608</v>
      </c>
    </row>
    <row r="41" spans="1:2" x14ac:dyDescent="0.25">
      <c r="A41" t="s">
        <v>445</v>
      </c>
      <c r="B41" t="s">
        <v>609</v>
      </c>
    </row>
    <row r="42" spans="1:2" x14ac:dyDescent="0.25">
      <c r="A42" t="s">
        <v>446</v>
      </c>
      <c r="B42" t="s">
        <v>610</v>
      </c>
    </row>
    <row r="43" spans="1:2" x14ac:dyDescent="0.25">
      <c r="A43" t="s">
        <v>447</v>
      </c>
      <c r="B43" t="s">
        <v>611</v>
      </c>
    </row>
    <row r="44" spans="1:2" x14ac:dyDescent="0.25">
      <c r="A44" t="s">
        <v>448</v>
      </c>
      <c r="B44" t="s">
        <v>612</v>
      </c>
    </row>
    <row r="45" spans="1:2" x14ac:dyDescent="0.25">
      <c r="A45" t="s">
        <v>449</v>
      </c>
      <c r="B45" t="s">
        <v>613</v>
      </c>
    </row>
    <row r="46" spans="1:2" x14ac:dyDescent="0.25">
      <c r="A46" t="s">
        <v>450</v>
      </c>
      <c r="B46" t="s">
        <v>614</v>
      </c>
    </row>
    <row r="47" spans="1:2" x14ac:dyDescent="0.25">
      <c r="A47" t="s">
        <v>451</v>
      </c>
      <c r="B47" t="s">
        <v>615</v>
      </c>
    </row>
    <row r="48" spans="1:2" x14ac:dyDescent="0.25">
      <c r="A48" t="s">
        <v>452</v>
      </c>
      <c r="B48" t="s">
        <v>616</v>
      </c>
    </row>
    <row r="49" spans="1:2" x14ac:dyDescent="0.25">
      <c r="A49" t="s">
        <v>453</v>
      </c>
      <c r="B49" t="s">
        <v>617</v>
      </c>
    </row>
    <row r="50" spans="1:2" x14ac:dyDescent="0.25">
      <c r="A50" t="s">
        <v>454</v>
      </c>
      <c r="B50" t="s">
        <v>618</v>
      </c>
    </row>
    <row r="51" spans="1:2" x14ac:dyDescent="0.25">
      <c r="A51" t="s">
        <v>455</v>
      </c>
      <c r="B51" t="s">
        <v>619</v>
      </c>
    </row>
    <row r="52" spans="1:2" x14ac:dyDescent="0.25">
      <c r="A52" t="s">
        <v>457</v>
      </c>
      <c r="B52" t="s">
        <v>621</v>
      </c>
    </row>
    <row r="53" spans="1:2" x14ac:dyDescent="0.25">
      <c r="A53" t="s">
        <v>458</v>
      </c>
      <c r="B53" t="s">
        <v>622</v>
      </c>
    </row>
    <row r="54" spans="1:2" x14ac:dyDescent="0.25">
      <c r="A54" t="s">
        <v>459</v>
      </c>
      <c r="B54" t="s">
        <v>623</v>
      </c>
    </row>
    <row r="55" spans="1:2" x14ac:dyDescent="0.25">
      <c r="A55" t="s">
        <v>460</v>
      </c>
      <c r="B55" t="s">
        <v>624</v>
      </c>
    </row>
    <row r="56" spans="1:2" x14ac:dyDescent="0.25">
      <c r="A56" t="s">
        <v>461</v>
      </c>
      <c r="B56" t="s">
        <v>625</v>
      </c>
    </row>
    <row r="57" spans="1:2" x14ac:dyDescent="0.25">
      <c r="A57" t="s">
        <v>462</v>
      </c>
      <c r="B57" t="s">
        <v>626</v>
      </c>
    </row>
    <row r="58" spans="1:2" x14ac:dyDescent="0.25">
      <c r="A58" t="s">
        <v>463</v>
      </c>
      <c r="B58" t="s">
        <v>627</v>
      </c>
    </row>
    <row r="59" spans="1:2" x14ac:dyDescent="0.25">
      <c r="A59" t="s">
        <v>464</v>
      </c>
      <c r="B59" t="s">
        <v>628</v>
      </c>
    </row>
    <row r="60" spans="1:2" x14ac:dyDescent="0.25">
      <c r="A60" t="s">
        <v>465</v>
      </c>
      <c r="B60" t="s">
        <v>629</v>
      </c>
    </row>
    <row r="61" spans="1:2" x14ac:dyDescent="0.25">
      <c r="A61" t="s">
        <v>466</v>
      </c>
      <c r="B61" t="s">
        <v>630</v>
      </c>
    </row>
    <row r="62" spans="1:2" x14ac:dyDescent="0.25">
      <c r="A62" t="s">
        <v>467</v>
      </c>
      <c r="B62" t="s">
        <v>631</v>
      </c>
    </row>
    <row r="63" spans="1:2" x14ac:dyDescent="0.25">
      <c r="A63" t="s">
        <v>468</v>
      </c>
      <c r="B63" t="s">
        <v>632</v>
      </c>
    </row>
    <row r="64" spans="1:2" x14ac:dyDescent="0.25">
      <c r="A64" t="s">
        <v>469</v>
      </c>
      <c r="B64" t="s">
        <v>633</v>
      </c>
    </row>
    <row r="65" spans="1:2" x14ac:dyDescent="0.25">
      <c r="A65" t="s">
        <v>470</v>
      </c>
      <c r="B65" t="s">
        <v>634</v>
      </c>
    </row>
    <row r="66" spans="1:2" x14ac:dyDescent="0.25">
      <c r="A66" t="s">
        <v>471</v>
      </c>
      <c r="B66" t="s">
        <v>635</v>
      </c>
    </row>
    <row r="67" spans="1:2" x14ac:dyDescent="0.25">
      <c r="A67" t="s">
        <v>472</v>
      </c>
      <c r="B67" t="s">
        <v>636</v>
      </c>
    </row>
    <row r="68" spans="1:2" x14ac:dyDescent="0.25">
      <c r="A68" t="s">
        <v>473</v>
      </c>
      <c r="B68" t="s">
        <v>637</v>
      </c>
    </row>
    <row r="69" spans="1:2" x14ac:dyDescent="0.25">
      <c r="A69" t="s">
        <v>474</v>
      </c>
      <c r="B69" t="s">
        <v>638</v>
      </c>
    </row>
    <row r="70" spans="1:2" x14ac:dyDescent="0.25">
      <c r="A70" t="s">
        <v>475</v>
      </c>
      <c r="B70" t="s">
        <v>639</v>
      </c>
    </row>
    <row r="71" spans="1:2" x14ac:dyDescent="0.25">
      <c r="A71" t="s">
        <v>476</v>
      </c>
      <c r="B71" t="s">
        <v>640</v>
      </c>
    </row>
    <row r="72" spans="1:2" x14ac:dyDescent="0.25">
      <c r="A72" t="s">
        <v>477</v>
      </c>
      <c r="B72" t="s">
        <v>641</v>
      </c>
    </row>
    <row r="73" spans="1:2" x14ac:dyDescent="0.25">
      <c r="A73" t="s">
        <v>478</v>
      </c>
      <c r="B73" t="s">
        <v>642</v>
      </c>
    </row>
    <row r="74" spans="1:2" x14ac:dyDescent="0.25">
      <c r="A74" t="s">
        <v>479</v>
      </c>
      <c r="B74" t="s">
        <v>643</v>
      </c>
    </row>
    <row r="75" spans="1:2" x14ac:dyDescent="0.25">
      <c r="A75" t="s">
        <v>480</v>
      </c>
      <c r="B75" t="s">
        <v>644</v>
      </c>
    </row>
    <row r="76" spans="1:2" x14ac:dyDescent="0.25">
      <c r="A76" t="s">
        <v>481</v>
      </c>
      <c r="B76" t="s">
        <v>645</v>
      </c>
    </row>
    <row r="77" spans="1:2" x14ac:dyDescent="0.25">
      <c r="A77" t="s">
        <v>482</v>
      </c>
      <c r="B77" t="s">
        <v>646</v>
      </c>
    </row>
    <row r="78" spans="1:2" x14ac:dyDescent="0.25">
      <c r="A78" t="s">
        <v>483</v>
      </c>
      <c r="B78" t="s">
        <v>647</v>
      </c>
    </row>
    <row r="79" spans="1:2" x14ac:dyDescent="0.25">
      <c r="A79" t="s">
        <v>484</v>
      </c>
      <c r="B79" t="s">
        <v>648</v>
      </c>
    </row>
    <row r="80" spans="1:2" x14ac:dyDescent="0.25">
      <c r="A80" t="s">
        <v>485</v>
      </c>
      <c r="B80" t="s">
        <v>649</v>
      </c>
    </row>
    <row r="81" spans="1:2" x14ac:dyDescent="0.25">
      <c r="A81" t="s">
        <v>486</v>
      </c>
      <c r="B81" t="s">
        <v>650</v>
      </c>
    </row>
    <row r="82" spans="1:2" x14ac:dyDescent="0.25">
      <c r="A82" t="s">
        <v>487</v>
      </c>
      <c r="B82" t="s">
        <v>651</v>
      </c>
    </row>
    <row r="83" spans="1:2" x14ac:dyDescent="0.25">
      <c r="A83" t="s">
        <v>488</v>
      </c>
      <c r="B83" t="s">
        <v>652</v>
      </c>
    </row>
    <row r="84" spans="1:2" x14ac:dyDescent="0.25">
      <c r="A84" t="s">
        <v>489</v>
      </c>
      <c r="B84" t="s">
        <v>653</v>
      </c>
    </row>
    <row r="85" spans="1:2" x14ac:dyDescent="0.25">
      <c r="A85" t="s">
        <v>490</v>
      </c>
      <c r="B85" t="s">
        <v>654</v>
      </c>
    </row>
    <row r="86" spans="1:2" x14ac:dyDescent="0.25">
      <c r="A86" t="s">
        <v>491</v>
      </c>
      <c r="B86" t="s">
        <v>655</v>
      </c>
    </row>
    <row r="87" spans="1:2" x14ac:dyDescent="0.25">
      <c r="A87" t="s">
        <v>492</v>
      </c>
      <c r="B87" t="s">
        <v>656</v>
      </c>
    </row>
    <row r="88" spans="1:2" x14ac:dyDescent="0.25">
      <c r="A88" t="s">
        <v>493</v>
      </c>
      <c r="B88" t="s">
        <v>657</v>
      </c>
    </row>
    <row r="89" spans="1:2" x14ac:dyDescent="0.25">
      <c r="A89" t="s">
        <v>494</v>
      </c>
      <c r="B89" t="s">
        <v>658</v>
      </c>
    </row>
    <row r="90" spans="1:2" x14ac:dyDescent="0.25">
      <c r="A90" t="s">
        <v>495</v>
      </c>
      <c r="B90" t="s">
        <v>659</v>
      </c>
    </row>
    <row r="91" spans="1:2" x14ac:dyDescent="0.25">
      <c r="A91" t="s">
        <v>496</v>
      </c>
      <c r="B91" t="s">
        <v>660</v>
      </c>
    </row>
    <row r="92" spans="1:2" x14ac:dyDescent="0.25">
      <c r="A92" t="s">
        <v>497</v>
      </c>
      <c r="B92" t="s">
        <v>661</v>
      </c>
    </row>
    <row r="93" spans="1:2" x14ac:dyDescent="0.25">
      <c r="A93" t="s">
        <v>498</v>
      </c>
      <c r="B93" t="s">
        <v>662</v>
      </c>
    </row>
    <row r="94" spans="1:2" x14ac:dyDescent="0.25">
      <c r="A94" t="s">
        <v>499</v>
      </c>
      <c r="B94" t="s">
        <v>663</v>
      </c>
    </row>
    <row r="95" spans="1:2" x14ac:dyDescent="0.25">
      <c r="A95" t="s">
        <v>500</v>
      </c>
      <c r="B95" t="s">
        <v>664</v>
      </c>
    </row>
    <row r="96" spans="1:2" x14ac:dyDescent="0.25">
      <c r="A96" t="s">
        <v>501</v>
      </c>
      <c r="B96" t="s">
        <v>665</v>
      </c>
    </row>
    <row r="97" spans="1:2" x14ac:dyDescent="0.25">
      <c r="A97" t="s">
        <v>502</v>
      </c>
      <c r="B97" t="s">
        <v>666</v>
      </c>
    </row>
    <row r="98" spans="1:2" x14ac:dyDescent="0.25">
      <c r="A98" t="s">
        <v>503</v>
      </c>
      <c r="B98" t="s">
        <v>667</v>
      </c>
    </row>
    <row r="99" spans="1:2" x14ac:dyDescent="0.25">
      <c r="A99" t="s">
        <v>504</v>
      </c>
      <c r="B99" t="s">
        <v>668</v>
      </c>
    </row>
    <row r="100" spans="1:2" x14ac:dyDescent="0.25">
      <c r="A100" t="s">
        <v>505</v>
      </c>
      <c r="B100" t="s">
        <v>669</v>
      </c>
    </row>
    <row r="101" spans="1:2" x14ac:dyDescent="0.25">
      <c r="A101" t="s">
        <v>506</v>
      </c>
      <c r="B101" t="s">
        <v>670</v>
      </c>
    </row>
    <row r="102" spans="1:2" x14ac:dyDescent="0.25">
      <c r="A102" t="s">
        <v>507</v>
      </c>
      <c r="B102" t="s">
        <v>671</v>
      </c>
    </row>
    <row r="103" spans="1:2" x14ac:dyDescent="0.25">
      <c r="A103" t="s">
        <v>672</v>
      </c>
      <c r="B103" t="s">
        <v>673</v>
      </c>
    </row>
    <row r="104" spans="1:2" x14ac:dyDescent="0.25">
      <c r="A104" t="s">
        <v>508</v>
      </c>
      <c r="B104" t="s">
        <v>674</v>
      </c>
    </row>
    <row r="105" spans="1:2" x14ac:dyDescent="0.25">
      <c r="A105" t="s">
        <v>509</v>
      </c>
      <c r="B105" t="s">
        <v>675</v>
      </c>
    </row>
    <row r="106" spans="1:2" x14ac:dyDescent="0.25">
      <c r="A106" t="s">
        <v>510</v>
      </c>
      <c r="B106" t="s">
        <v>676</v>
      </c>
    </row>
    <row r="107" spans="1:2" x14ac:dyDescent="0.25">
      <c r="A107" t="s">
        <v>511</v>
      </c>
      <c r="B107" t="s">
        <v>677</v>
      </c>
    </row>
    <row r="108" spans="1:2" x14ac:dyDescent="0.25">
      <c r="A108" t="s">
        <v>512</v>
      </c>
      <c r="B108" t="s">
        <v>678</v>
      </c>
    </row>
    <row r="109" spans="1:2" x14ac:dyDescent="0.25">
      <c r="A109" t="s">
        <v>513</v>
      </c>
      <c r="B109" t="s">
        <v>679</v>
      </c>
    </row>
    <row r="110" spans="1:2" x14ac:dyDescent="0.25">
      <c r="A110" t="s">
        <v>514</v>
      </c>
      <c r="B110" t="s">
        <v>680</v>
      </c>
    </row>
    <row r="111" spans="1:2" x14ac:dyDescent="0.25">
      <c r="A111" t="s">
        <v>515</v>
      </c>
      <c r="B111" t="s">
        <v>516</v>
      </c>
    </row>
    <row r="112" spans="1:2" x14ac:dyDescent="0.25">
      <c r="A112" t="s">
        <v>517</v>
      </c>
      <c r="B112" t="s">
        <v>681</v>
      </c>
    </row>
    <row r="113" spans="1:2" x14ac:dyDescent="0.25">
      <c r="A113" t="s">
        <v>518</v>
      </c>
      <c r="B113" t="s">
        <v>682</v>
      </c>
    </row>
    <row r="114" spans="1:2" x14ac:dyDescent="0.25">
      <c r="A114" t="s">
        <v>519</v>
      </c>
      <c r="B114" t="s">
        <v>683</v>
      </c>
    </row>
    <row r="115" spans="1:2" x14ac:dyDescent="0.25">
      <c r="A115" t="s">
        <v>520</v>
      </c>
      <c r="B115" t="s">
        <v>684</v>
      </c>
    </row>
    <row r="116" spans="1:2" x14ac:dyDescent="0.25">
      <c r="A116" t="s">
        <v>521</v>
      </c>
      <c r="B116" t="s">
        <v>685</v>
      </c>
    </row>
    <row r="117" spans="1:2" x14ac:dyDescent="0.25">
      <c r="A117" t="s">
        <v>522</v>
      </c>
      <c r="B117" t="s">
        <v>686</v>
      </c>
    </row>
    <row r="118" spans="1:2" x14ac:dyDescent="0.25">
      <c r="A118" t="s">
        <v>523</v>
      </c>
      <c r="B118" t="s">
        <v>687</v>
      </c>
    </row>
    <row r="119" spans="1:2" x14ac:dyDescent="0.25">
      <c r="A119" t="s">
        <v>524</v>
      </c>
      <c r="B119" t="s">
        <v>689</v>
      </c>
    </row>
    <row r="120" spans="1:2" x14ac:dyDescent="0.25">
      <c r="A120" t="s">
        <v>525</v>
      </c>
      <c r="B120" t="s">
        <v>690</v>
      </c>
    </row>
    <row r="121" spans="1:2" x14ac:dyDescent="0.25">
      <c r="A121" t="s">
        <v>526</v>
      </c>
      <c r="B121" t="s">
        <v>691</v>
      </c>
    </row>
    <row r="122" spans="1:2" x14ac:dyDescent="0.25">
      <c r="A122" t="s">
        <v>527</v>
      </c>
      <c r="B122" t="s">
        <v>692</v>
      </c>
    </row>
    <row r="123" spans="1:2" x14ac:dyDescent="0.25">
      <c r="A123" t="s">
        <v>528</v>
      </c>
      <c r="B123" t="s">
        <v>693</v>
      </c>
    </row>
    <row r="124" spans="1:2" x14ac:dyDescent="0.25">
      <c r="A124" t="s">
        <v>529</v>
      </c>
      <c r="B124" t="s">
        <v>694</v>
      </c>
    </row>
    <row r="125" spans="1:2" x14ac:dyDescent="0.25">
      <c r="A125" t="s">
        <v>530</v>
      </c>
      <c r="B125" t="s">
        <v>695</v>
      </c>
    </row>
    <row r="126" spans="1:2" x14ac:dyDescent="0.25">
      <c r="A126" t="s">
        <v>531</v>
      </c>
      <c r="B126" t="s">
        <v>696</v>
      </c>
    </row>
    <row r="127" spans="1:2" x14ac:dyDescent="0.25">
      <c r="A127" t="s">
        <v>532</v>
      </c>
      <c r="B127" t="s">
        <v>697</v>
      </c>
    </row>
    <row r="128" spans="1:2" x14ac:dyDescent="0.25">
      <c r="A128" t="s">
        <v>533</v>
      </c>
      <c r="B128" t="s">
        <v>698</v>
      </c>
    </row>
    <row r="129" spans="1:2" x14ac:dyDescent="0.25">
      <c r="A129" t="s">
        <v>534</v>
      </c>
      <c r="B129" t="s">
        <v>699</v>
      </c>
    </row>
    <row r="130" spans="1:2" x14ac:dyDescent="0.25">
      <c r="A130" t="s">
        <v>535</v>
      </c>
      <c r="B130" t="s">
        <v>700</v>
      </c>
    </row>
    <row r="131" spans="1:2" x14ac:dyDescent="0.25">
      <c r="A131" t="s">
        <v>536</v>
      </c>
      <c r="B131" t="s">
        <v>701</v>
      </c>
    </row>
    <row r="132" spans="1:2" x14ac:dyDescent="0.25">
      <c r="A132" t="s">
        <v>537</v>
      </c>
      <c r="B132" t="s">
        <v>702</v>
      </c>
    </row>
    <row r="133" spans="1:2" x14ac:dyDescent="0.25">
      <c r="A133" t="s">
        <v>538</v>
      </c>
      <c r="B133" t="s">
        <v>703</v>
      </c>
    </row>
    <row r="134" spans="1:2" x14ac:dyDescent="0.25">
      <c r="A134" t="s">
        <v>704</v>
      </c>
      <c r="B134" t="s">
        <v>705</v>
      </c>
    </row>
    <row r="135" spans="1:2" x14ac:dyDescent="0.25">
      <c r="A135" t="s">
        <v>539</v>
      </c>
      <c r="B135" t="s">
        <v>706</v>
      </c>
    </row>
    <row r="136" spans="1:2" x14ac:dyDescent="0.25">
      <c r="A136" t="s">
        <v>540</v>
      </c>
      <c r="B136" t="s">
        <v>707</v>
      </c>
    </row>
    <row r="137" spans="1:2" x14ac:dyDescent="0.25">
      <c r="A137" t="s">
        <v>541</v>
      </c>
      <c r="B137" t="s">
        <v>708</v>
      </c>
    </row>
    <row r="138" spans="1:2" x14ac:dyDescent="0.25">
      <c r="A138" t="s">
        <v>542</v>
      </c>
      <c r="B138" t="s">
        <v>709</v>
      </c>
    </row>
    <row r="139" spans="1:2" x14ac:dyDescent="0.25">
      <c r="A139" t="s">
        <v>543</v>
      </c>
      <c r="B139" t="s">
        <v>710</v>
      </c>
    </row>
    <row r="140" spans="1:2" x14ac:dyDescent="0.25">
      <c r="A140" t="s">
        <v>544</v>
      </c>
      <c r="B140" t="s">
        <v>711</v>
      </c>
    </row>
    <row r="141" spans="1:2" x14ac:dyDescent="0.25">
      <c r="A141" t="s">
        <v>545</v>
      </c>
      <c r="B141" t="s">
        <v>712</v>
      </c>
    </row>
    <row r="142" spans="1:2" x14ac:dyDescent="0.25">
      <c r="A142" t="s">
        <v>546</v>
      </c>
      <c r="B142" t="s">
        <v>713</v>
      </c>
    </row>
    <row r="143" spans="1:2" x14ac:dyDescent="0.25">
      <c r="A143" t="s">
        <v>547</v>
      </c>
      <c r="B143" t="s">
        <v>714</v>
      </c>
    </row>
    <row r="144" spans="1:2" x14ac:dyDescent="0.25">
      <c r="A144" t="s">
        <v>548</v>
      </c>
      <c r="B144" t="s">
        <v>715</v>
      </c>
    </row>
    <row r="145" spans="1:2" x14ac:dyDescent="0.25">
      <c r="A145" t="s">
        <v>549</v>
      </c>
      <c r="B145" t="s">
        <v>716</v>
      </c>
    </row>
    <row r="146" spans="1:2" x14ac:dyDescent="0.25">
      <c r="A146" t="s">
        <v>550</v>
      </c>
      <c r="B146" t="s">
        <v>717</v>
      </c>
    </row>
    <row r="147" spans="1:2" x14ac:dyDescent="0.25">
      <c r="A147" t="s">
        <v>551</v>
      </c>
      <c r="B147" t="s">
        <v>718</v>
      </c>
    </row>
    <row r="148" spans="1:2" x14ac:dyDescent="0.25">
      <c r="A148" t="s">
        <v>552</v>
      </c>
      <c r="B148" t="s">
        <v>719</v>
      </c>
    </row>
    <row r="149" spans="1:2" x14ac:dyDescent="0.25">
      <c r="A149" t="s">
        <v>553</v>
      </c>
      <c r="B149" t="s">
        <v>720</v>
      </c>
    </row>
    <row r="150" spans="1:2" x14ac:dyDescent="0.25">
      <c r="A150" t="s">
        <v>721</v>
      </c>
      <c r="B150" t="s">
        <v>722</v>
      </c>
    </row>
    <row r="151" spans="1:2" x14ac:dyDescent="0.25">
      <c r="A151" t="s">
        <v>723</v>
      </c>
      <c r="B151" t="s">
        <v>724</v>
      </c>
    </row>
    <row r="152" spans="1:2" x14ac:dyDescent="0.25">
      <c r="A152" t="s">
        <v>555</v>
      </c>
      <c r="B152" t="s">
        <v>725</v>
      </c>
    </row>
    <row r="153" spans="1:2" x14ac:dyDescent="0.25">
      <c r="A153" t="s">
        <v>726</v>
      </c>
      <c r="B153" t="s">
        <v>727</v>
      </c>
    </row>
    <row r="154" spans="1:2" x14ac:dyDescent="0.25">
      <c r="A154" t="s">
        <v>556</v>
      </c>
      <c r="B154" t="s">
        <v>728</v>
      </c>
    </row>
    <row r="155" spans="1:2" x14ac:dyDescent="0.25">
      <c r="A155" t="s">
        <v>729</v>
      </c>
      <c r="B155" t="s">
        <v>730</v>
      </c>
    </row>
    <row r="156" spans="1:2" x14ac:dyDescent="0.25">
      <c r="A156" t="s">
        <v>557</v>
      </c>
      <c r="B156" t="s">
        <v>731</v>
      </c>
    </row>
    <row r="157" spans="1:2" x14ac:dyDescent="0.25">
      <c r="A157" t="s">
        <v>558</v>
      </c>
      <c r="B157" t="s">
        <v>732</v>
      </c>
    </row>
    <row r="158" spans="1:2" x14ac:dyDescent="0.25">
      <c r="A158" t="s">
        <v>559</v>
      </c>
      <c r="B158" t="s">
        <v>733</v>
      </c>
    </row>
    <row r="159" spans="1:2" x14ac:dyDescent="0.25">
      <c r="A159" t="s">
        <v>560</v>
      </c>
      <c r="B159" t="s">
        <v>734</v>
      </c>
    </row>
    <row r="160" spans="1:2" x14ac:dyDescent="0.25">
      <c r="A160" t="s">
        <v>735</v>
      </c>
      <c r="B160" t="s">
        <v>736</v>
      </c>
    </row>
    <row r="161" spans="1:2" x14ac:dyDescent="0.25">
      <c r="A161" t="s">
        <v>737</v>
      </c>
      <c r="B161" t="s">
        <v>738</v>
      </c>
    </row>
    <row r="162" spans="1:2" x14ac:dyDescent="0.25">
      <c r="A162" t="s">
        <v>739</v>
      </c>
      <c r="B162" t="s">
        <v>740</v>
      </c>
    </row>
    <row r="163" spans="1:2" x14ac:dyDescent="0.25">
      <c r="A163" t="s">
        <v>741</v>
      </c>
      <c r="B163" t="s">
        <v>742</v>
      </c>
    </row>
    <row r="164" spans="1:2" x14ac:dyDescent="0.25">
      <c r="A164" t="s">
        <v>743</v>
      </c>
      <c r="B164" t="s">
        <v>744</v>
      </c>
    </row>
    <row r="165" spans="1:2" x14ac:dyDescent="0.25">
      <c r="A165" t="s">
        <v>745</v>
      </c>
      <c r="B165" t="s">
        <v>746</v>
      </c>
    </row>
    <row r="166" spans="1:2" x14ac:dyDescent="0.25">
      <c r="A166" t="s">
        <v>561</v>
      </c>
      <c r="B166" t="s">
        <v>747</v>
      </c>
    </row>
    <row r="167" spans="1:2" x14ac:dyDescent="0.25">
      <c r="A167" t="s">
        <v>562</v>
      </c>
      <c r="B167" t="s">
        <v>748</v>
      </c>
    </row>
    <row r="168" spans="1:2" x14ac:dyDescent="0.25">
      <c r="A168" t="s">
        <v>563</v>
      </c>
      <c r="B168" t="s">
        <v>749</v>
      </c>
    </row>
    <row r="169" spans="1:2" x14ac:dyDescent="0.25">
      <c r="A169" t="s">
        <v>750</v>
      </c>
      <c r="B169" t="s">
        <v>751</v>
      </c>
    </row>
    <row r="170" spans="1:2" x14ac:dyDescent="0.25">
      <c r="A170" t="s">
        <v>564</v>
      </c>
      <c r="B170" t="s">
        <v>752</v>
      </c>
    </row>
    <row r="171" spans="1:2" x14ac:dyDescent="0.25">
      <c r="A171" t="s">
        <v>753</v>
      </c>
      <c r="B171" t="s">
        <v>754</v>
      </c>
    </row>
    <row r="172" spans="1:2" x14ac:dyDescent="0.25">
      <c r="A172" t="s">
        <v>755</v>
      </c>
      <c r="B172" t="s">
        <v>756</v>
      </c>
    </row>
    <row r="173" spans="1:2" x14ac:dyDescent="0.25">
      <c r="A173" t="s">
        <v>757</v>
      </c>
      <c r="B173" t="s">
        <v>758</v>
      </c>
    </row>
    <row r="174" spans="1:2" x14ac:dyDescent="0.25">
      <c r="A174" t="s">
        <v>759</v>
      </c>
      <c r="B174" t="s">
        <v>760</v>
      </c>
    </row>
    <row r="175" spans="1:2" x14ac:dyDescent="0.25">
      <c r="A175" t="s">
        <v>761</v>
      </c>
      <c r="B175" t="s">
        <v>762</v>
      </c>
    </row>
    <row r="176" spans="1:2" x14ac:dyDescent="0.25">
      <c r="A176" t="s">
        <v>565</v>
      </c>
      <c r="B176" t="s">
        <v>763</v>
      </c>
    </row>
    <row r="177" spans="1:2" x14ac:dyDescent="0.25">
      <c r="A177" t="s">
        <v>566</v>
      </c>
      <c r="B177" t="s">
        <v>764</v>
      </c>
    </row>
    <row r="178" spans="1:2" x14ac:dyDescent="0.25">
      <c r="A178" t="s">
        <v>567</v>
      </c>
      <c r="B178" t="s">
        <v>765</v>
      </c>
    </row>
    <row r="179" spans="1:2" x14ac:dyDescent="0.25">
      <c r="A179" t="s">
        <v>766</v>
      </c>
      <c r="B179" t="s">
        <v>767</v>
      </c>
    </row>
  </sheetData>
  <hyperlinks>
    <hyperlink ref="C1" location="Indice!A1" display="Índice" xr:uid="{00000000-0004-0000-2D00-000000000000}"/>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tabColor rgb="FFFF0000"/>
  </sheetPr>
  <dimension ref="A1:I52"/>
  <sheetViews>
    <sheetView showGridLines="0" view="pageBreakPreview" zoomScaleNormal="90" zoomScaleSheetLayoutView="100" workbookViewId="0">
      <selection activeCell="B37" sqref="B37"/>
    </sheetView>
  </sheetViews>
  <sheetFormatPr baseColWidth="10" defaultColWidth="10.85546875" defaultRowHeight="14.25" x14ac:dyDescent="0.2"/>
  <cols>
    <col min="1" max="1" width="78" style="29" customWidth="1"/>
    <col min="2" max="2" width="22.28515625" style="68" customWidth="1"/>
    <col min="3" max="3" width="27.5703125" style="68" customWidth="1"/>
    <col min="4" max="4" width="2.42578125" style="29" customWidth="1"/>
    <col min="5" max="5" width="16" style="29" bestFit="1" customWidth="1"/>
    <col min="6" max="6" width="2.28515625" style="29" customWidth="1"/>
    <col min="7" max="7" width="4.42578125" style="29" customWidth="1"/>
    <col min="8" max="8" width="21.42578125" style="29" customWidth="1"/>
    <col min="9" max="9" width="16.42578125" style="68" bestFit="1" customWidth="1"/>
    <col min="10" max="16384" width="10.85546875" style="29"/>
  </cols>
  <sheetData>
    <row r="1" spans="1:9" x14ac:dyDescent="0.2">
      <c r="A1" s="29" t="str">
        <f>Indice!C1</f>
        <v>SALLUSTRO Y CIA. S.A.</v>
      </c>
    </row>
    <row r="2" spans="1:9" x14ac:dyDescent="0.2">
      <c r="A2" s="60"/>
      <c r="B2" s="61"/>
      <c r="C2" s="61"/>
      <c r="I2" s="29"/>
    </row>
    <row r="3" spans="1:9" hidden="1" x14ac:dyDescent="0.2">
      <c r="A3" s="606"/>
      <c r="B3" s="606"/>
      <c r="C3" s="606"/>
      <c r="I3" s="29"/>
    </row>
    <row r="4" spans="1:9" x14ac:dyDescent="0.2">
      <c r="A4" s="60"/>
      <c r="B4" s="61"/>
      <c r="C4" s="61"/>
      <c r="I4" s="29"/>
    </row>
    <row r="5" spans="1:9" s="2" customFormat="1" ht="15" x14ac:dyDescent="0.25">
      <c r="A5" s="607" t="s">
        <v>801</v>
      </c>
      <c r="B5" s="607"/>
      <c r="C5" s="607"/>
    </row>
    <row r="6" spans="1:9" s="2" customFormat="1" ht="15" x14ac:dyDescent="0.25">
      <c r="A6" s="607" t="str">
        <f>IFERROR(IF(Indice!B6="","Al dia... de mes… de año 2XX2…","Al "&amp;DAY(Indice!B6)&amp;" de "&amp;VLOOKUP(MONTH(Indice!B6),Indice!P:Q,2,0)&amp;" de "&amp;YEAR(Indice!B6)),"Al dia... de mes… de año 2XX2…")</f>
        <v>Al 31 de Diciembre de 2024</v>
      </c>
      <c r="B6" s="607"/>
      <c r="C6" s="607"/>
    </row>
    <row r="7" spans="1:9" s="2" customFormat="1" x14ac:dyDescent="0.2">
      <c r="A7" s="608" t="s">
        <v>250</v>
      </c>
      <c r="B7" s="608"/>
      <c r="C7" s="608"/>
    </row>
    <row r="8" spans="1:9" s="2" customFormat="1" x14ac:dyDescent="0.2">
      <c r="A8" s="608" t="s">
        <v>228</v>
      </c>
      <c r="B8" s="608"/>
      <c r="C8" s="608"/>
    </row>
    <row r="9" spans="1:9" s="2" customFormat="1" x14ac:dyDescent="0.2">
      <c r="A9" s="73"/>
      <c r="B9" s="73"/>
      <c r="C9" s="73"/>
    </row>
    <row r="10" spans="1:9" s="2" customFormat="1" x14ac:dyDescent="0.2">
      <c r="A10" s="73"/>
      <c r="B10" s="73"/>
      <c r="C10" s="73"/>
    </row>
    <row r="11" spans="1:9" s="2" customFormat="1" ht="15" x14ac:dyDescent="0.3">
      <c r="A11" s="90"/>
      <c r="B11" s="232">
        <f>IFERROR(IF(Indice!B6="","2XX2",YEAR(Indice!B6)),"2XX2")</f>
        <v>2024</v>
      </c>
      <c r="C11" s="232">
        <f>IFERROR(YEAR(Indice!B6-366),"2XX1")</f>
        <v>2023</v>
      </c>
    </row>
    <row r="12" spans="1:9" s="2" customFormat="1" x14ac:dyDescent="0.2">
      <c r="A12" s="29"/>
      <c r="B12" s="74"/>
      <c r="C12" s="74"/>
    </row>
    <row r="13" spans="1:9" s="2" customFormat="1" ht="15" x14ac:dyDescent="0.25">
      <c r="A13" s="75" t="s">
        <v>230</v>
      </c>
      <c r="B13" s="68"/>
      <c r="C13" s="68"/>
      <c r="I13" s="63"/>
    </row>
    <row r="14" spans="1:9" s="2" customFormat="1" x14ac:dyDescent="0.2">
      <c r="A14" s="29" t="s">
        <v>368</v>
      </c>
      <c r="B14" s="24">
        <v>111388092521.95001</v>
      </c>
      <c r="C14" s="24">
        <v>100924298476.00005</v>
      </c>
      <c r="I14" s="63"/>
    </row>
    <row r="15" spans="1:9" s="2" customFormat="1" x14ac:dyDescent="0.2">
      <c r="A15" s="29" t="s">
        <v>43</v>
      </c>
      <c r="B15" s="24">
        <v>-39978217802.089996</v>
      </c>
      <c r="C15" s="24">
        <v>-49398274841.180008</v>
      </c>
      <c r="F15" s="47"/>
      <c r="H15" s="48"/>
      <c r="I15" s="63"/>
    </row>
    <row r="16" spans="1:9" s="2" customFormat="1" x14ac:dyDescent="0.2">
      <c r="A16" s="29" t="s">
        <v>44</v>
      </c>
      <c r="B16" s="24">
        <v>-67238148091.919998</v>
      </c>
      <c r="C16" s="24">
        <v>-60030286675.470001</v>
      </c>
      <c r="F16" s="47"/>
      <c r="H16" s="48"/>
      <c r="I16" s="63"/>
    </row>
    <row r="17" spans="1:9" s="2" customFormat="1" x14ac:dyDescent="0.2">
      <c r="A17" s="29" t="s">
        <v>80</v>
      </c>
      <c r="B17" s="24"/>
      <c r="C17" s="24"/>
      <c r="F17" s="47"/>
      <c r="H17" s="48"/>
      <c r="I17" s="63"/>
    </row>
    <row r="18" spans="1:9" s="2" customFormat="1" x14ac:dyDescent="0.2">
      <c r="A18" s="29" t="s">
        <v>369</v>
      </c>
      <c r="B18" s="24">
        <v>-301306680.80000001</v>
      </c>
      <c r="C18" s="24">
        <v>301306680.80000001</v>
      </c>
      <c r="F18" s="47"/>
      <c r="I18" s="63"/>
    </row>
    <row r="19" spans="1:9" s="2" customFormat="1" x14ac:dyDescent="0.2">
      <c r="A19" s="29" t="s">
        <v>229</v>
      </c>
      <c r="B19" s="502">
        <v>-1560107045.3800001</v>
      </c>
      <c r="C19" s="502">
        <v>-1903842815.6600001</v>
      </c>
      <c r="F19" s="47"/>
      <c r="I19" s="63"/>
    </row>
    <row r="20" spans="1:9" s="2" customFormat="1" ht="15" x14ac:dyDescent="0.25">
      <c r="A20" s="328" t="s">
        <v>45</v>
      </c>
      <c r="B20" s="329">
        <f>SUM(B14:B19)</f>
        <v>2310312901.7600174</v>
      </c>
      <c r="C20" s="329">
        <f>SUM(C14:C19)</f>
        <v>-10106799175.509964</v>
      </c>
      <c r="I20" s="63"/>
    </row>
    <row r="21" spans="1:9" s="2" customFormat="1" x14ac:dyDescent="0.2">
      <c r="A21" s="29"/>
      <c r="B21" s="68"/>
      <c r="C21" s="68"/>
      <c r="I21" s="63"/>
    </row>
    <row r="22" spans="1:9" s="2" customFormat="1" ht="15" x14ac:dyDescent="0.25">
      <c r="A22" s="75" t="s">
        <v>231</v>
      </c>
      <c r="B22" s="68"/>
      <c r="C22" s="68"/>
      <c r="I22" s="63"/>
    </row>
    <row r="23" spans="1:9" s="2" customFormat="1" x14ac:dyDescent="0.2">
      <c r="A23" s="29" t="s">
        <v>370</v>
      </c>
      <c r="B23" s="24">
        <v>-1844615763.7199783</v>
      </c>
      <c r="C23" s="24">
        <v>-3866278097.2300091</v>
      </c>
      <c r="F23" s="47"/>
      <c r="I23" s="63"/>
    </row>
    <row r="24" spans="1:9" s="2" customFormat="1" x14ac:dyDescent="0.2">
      <c r="A24" s="29" t="s">
        <v>81</v>
      </c>
      <c r="B24" s="24"/>
      <c r="C24" s="24"/>
      <c r="I24" s="63"/>
    </row>
    <row r="25" spans="1:9" s="2" customFormat="1" x14ac:dyDescent="0.2">
      <c r="A25" s="29" t="s">
        <v>82</v>
      </c>
      <c r="B25" s="24"/>
      <c r="C25" s="24"/>
      <c r="I25" s="63"/>
    </row>
    <row r="26" spans="1:9" s="2" customFormat="1" x14ac:dyDescent="0.2">
      <c r="A26" s="29" t="s">
        <v>232</v>
      </c>
      <c r="B26" s="24">
        <v>-3220086238.2799997</v>
      </c>
      <c r="C26" s="24">
        <v>-529650230.48000002</v>
      </c>
      <c r="I26" s="63"/>
    </row>
    <row r="27" spans="1:9" s="2" customFormat="1" ht="15" x14ac:dyDescent="0.25">
      <c r="A27" s="328" t="s">
        <v>46</v>
      </c>
      <c r="B27" s="329">
        <f>SUM(B23:B26)</f>
        <v>-5064702001.9999781</v>
      </c>
      <c r="C27" s="329">
        <f>SUM(C23:C26)</f>
        <v>-4395928327.7100086</v>
      </c>
      <c r="I27" s="63"/>
    </row>
    <row r="28" spans="1:9" s="2" customFormat="1" x14ac:dyDescent="0.2">
      <c r="A28" s="29"/>
      <c r="B28" s="68"/>
      <c r="C28" s="68"/>
      <c r="I28" s="63"/>
    </row>
    <row r="29" spans="1:9" s="2" customFormat="1" ht="15" x14ac:dyDescent="0.25">
      <c r="A29" s="75" t="s">
        <v>233</v>
      </c>
      <c r="B29" s="68"/>
      <c r="C29" s="68"/>
      <c r="I29" s="63"/>
    </row>
    <row r="30" spans="1:9" s="2" customFormat="1" x14ac:dyDescent="0.2">
      <c r="A30" s="29" t="s">
        <v>371</v>
      </c>
      <c r="B30" s="24">
        <v>4301510812.0299988</v>
      </c>
      <c r="C30" s="24">
        <v>15823288131.679989</v>
      </c>
      <c r="I30" s="63"/>
    </row>
    <row r="31" spans="1:9" s="2" customFormat="1" x14ac:dyDescent="0.2">
      <c r="A31" s="29" t="s">
        <v>84</v>
      </c>
      <c r="B31" s="24"/>
      <c r="C31" s="24"/>
      <c r="I31" s="63"/>
    </row>
    <row r="32" spans="1:9" s="2" customFormat="1" x14ac:dyDescent="0.2">
      <c r="A32" s="29" t="s">
        <v>83</v>
      </c>
      <c r="B32" s="24"/>
      <c r="C32" s="24"/>
      <c r="I32" s="63"/>
    </row>
    <row r="33" spans="1:9" s="2" customFormat="1" ht="15" x14ac:dyDescent="0.25">
      <c r="A33" s="328" t="s">
        <v>372</v>
      </c>
      <c r="B33" s="329">
        <f>B30+B31+B32</f>
        <v>4301510812.0299988</v>
      </c>
      <c r="C33" s="329">
        <v>-23745731.539999999</v>
      </c>
      <c r="I33" s="63"/>
    </row>
    <row r="34" spans="1:9" s="2" customFormat="1" ht="15" x14ac:dyDescent="0.25">
      <c r="A34" s="286"/>
      <c r="B34" s="287"/>
      <c r="C34" s="287"/>
      <c r="I34" s="67"/>
    </row>
    <row r="35" spans="1:9" s="2" customFormat="1" x14ac:dyDescent="0.2">
      <c r="A35" s="288" t="s">
        <v>85</v>
      </c>
      <c r="B35" s="24">
        <v>1527140560.1700382</v>
      </c>
      <c r="C35" s="24">
        <v>1320560628.4600163</v>
      </c>
      <c r="E35" s="48"/>
      <c r="H35" s="24"/>
      <c r="I35" s="63"/>
    </row>
    <row r="36" spans="1:9" x14ac:dyDescent="0.2">
      <c r="A36" s="288" t="s">
        <v>86</v>
      </c>
      <c r="B36" s="24">
        <v>-3278450933</v>
      </c>
      <c r="C36" s="24">
        <v>-3389196893.8800001</v>
      </c>
    </row>
    <row r="37" spans="1:9" s="2" customFormat="1" x14ac:dyDescent="0.2">
      <c r="A37" s="288" t="s">
        <v>87</v>
      </c>
      <c r="B37" s="24">
        <v>9589530999.0299988</v>
      </c>
      <c r="C37" s="24">
        <v>11658167264.880001</v>
      </c>
      <c r="H37" s="63"/>
      <c r="I37" s="63"/>
    </row>
    <row r="38" spans="1:9" s="2" customFormat="1" x14ac:dyDescent="0.2">
      <c r="A38" s="29"/>
      <c r="B38" s="68"/>
      <c r="C38" s="68"/>
      <c r="H38" s="63"/>
      <c r="I38" s="63"/>
    </row>
    <row r="39" spans="1:9" s="2" customFormat="1" ht="18.75" x14ac:dyDescent="0.4">
      <c r="A39" s="91" t="s">
        <v>47</v>
      </c>
      <c r="B39" s="100">
        <f>+SUM(B35:B37)</f>
        <v>7838220626.200037</v>
      </c>
      <c r="C39" s="100">
        <f>+SUM(C35:C37)</f>
        <v>9589530999.4600182</v>
      </c>
      <c r="I39" s="63"/>
    </row>
    <row r="40" spans="1:9" s="2" customFormat="1" hidden="1" x14ac:dyDescent="0.2">
      <c r="A40" s="29"/>
      <c r="B40" s="501">
        <f>+B39-BG!F14</f>
        <v>-8.9964866638183594E-2</v>
      </c>
      <c r="C40" s="501">
        <f>+C39-BG!G14</f>
        <v>-0.199981689453125</v>
      </c>
      <c r="I40" s="63"/>
    </row>
    <row r="41" spans="1:9" ht="15" x14ac:dyDescent="0.25">
      <c r="A41" s="29" t="s">
        <v>355</v>
      </c>
      <c r="B41" s="388"/>
      <c r="C41" s="388"/>
    </row>
    <row r="42" spans="1:9" ht="15" x14ac:dyDescent="0.25">
      <c r="B42" s="388">
        <f>+B39-'Nota 3'!C51</f>
        <v>-8.9964866638183594E-2</v>
      </c>
      <c r="C42" s="56"/>
    </row>
    <row r="43" spans="1:9" x14ac:dyDescent="0.2">
      <c r="B43" s="56"/>
      <c r="C43" s="56"/>
    </row>
    <row r="44" spans="1:9" x14ac:dyDescent="0.2">
      <c r="B44" s="56"/>
      <c r="C44" s="56"/>
    </row>
    <row r="45" spans="1:9" x14ac:dyDescent="0.2">
      <c r="A45" s="462"/>
      <c r="B45" s="462"/>
      <c r="C45" s="458"/>
    </row>
    <row r="46" spans="1:9" x14ac:dyDescent="0.2">
      <c r="A46" s="462"/>
      <c r="B46" s="461"/>
      <c r="C46" s="458"/>
    </row>
    <row r="47" spans="1:9" x14ac:dyDescent="0.2">
      <c r="A47" s="412"/>
      <c r="B47" s="412"/>
      <c r="C47" s="412"/>
    </row>
    <row r="48" spans="1:9" x14ac:dyDescent="0.2">
      <c r="A48" s="412"/>
      <c r="B48" s="412"/>
      <c r="C48" s="412"/>
      <c r="D48" s="412"/>
    </row>
    <row r="49" spans="1:4" x14ac:dyDescent="0.2">
      <c r="A49" s="412"/>
      <c r="B49" s="412"/>
      <c r="C49" s="412"/>
      <c r="D49" s="412"/>
    </row>
    <row r="50" spans="1:4" x14ac:dyDescent="0.2">
      <c r="A50" s="507"/>
      <c r="B50" s="412"/>
      <c r="D50" s="412"/>
    </row>
    <row r="51" spans="1:4" x14ac:dyDescent="0.2">
      <c r="A51" s="461"/>
      <c r="B51" s="412"/>
      <c r="D51" s="412"/>
    </row>
    <row r="52" spans="1:4" x14ac:dyDescent="0.2">
      <c r="A52" s="461"/>
      <c r="B52" s="412"/>
      <c r="D52" s="412"/>
    </row>
  </sheetData>
  <mergeCells count="5">
    <mergeCell ref="A3:C3"/>
    <mergeCell ref="A5:C5"/>
    <mergeCell ref="A6:C6"/>
    <mergeCell ref="A7:C7"/>
    <mergeCell ref="A8:C8"/>
  </mergeCells>
  <printOptions horizontalCentered="1"/>
  <pageMargins left="0.70866141732283472" right="0.70866141732283472" top="0.74803149606299213" bottom="0.74803149606299213" header="0.31496062992125984" footer="0.31496062992125984"/>
  <pageSetup paperSize="9" scale="6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tabColor rgb="FFFFFF00"/>
    <pageSetUpPr fitToPage="1"/>
  </sheetPr>
  <dimension ref="A1:L71"/>
  <sheetViews>
    <sheetView showGridLines="0" topLeftCell="E61" zoomScaleNormal="100" zoomScaleSheetLayoutView="70" workbookViewId="0">
      <selection activeCell="A11" sqref="A11:I70"/>
    </sheetView>
  </sheetViews>
  <sheetFormatPr baseColWidth="10" defaultColWidth="11.42578125" defaultRowHeight="14.25" x14ac:dyDescent="0.2"/>
  <cols>
    <col min="1" max="8" width="11.42578125" style="29"/>
    <col min="9" max="9" width="26.140625" style="29" customWidth="1"/>
    <col min="10" max="16384" width="11.42578125" style="29"/>
  </cols>
  <sheetData>
    <row r="1" spans="1:12" ht="15" customHeight="1" x14ac:dyDescent="0.25">
      <c r="A1" s="29" t="str">
        <f>Indice!C1</f>
        <v>SALLUSTRO Y CIA. S.A.</v>
      </c>
      <c r="I1" s="447" t="s">
        <v>117</v>
      </c>
    </row>
    <row r="2" spans="1:12" x14ac:dyDescent="0.2">
      <c r="I2" s="30"/>
    </row>
    <row r="3" spans="1:12" x14ac:dyDescent="0.2">
      <c r="I3" s="30"/>
    </row>
    <row r="4" spans="1:12" x14ac:dyDescent="0.2">
      <c r="I4" s="30"/>
    </row>
    <row r="5" spans="1:12" ht="15" customHeight="1" x14ac:dyDescent="0.2">
      <c r="I5" s="30"/>
    </row>
    <row r="6" spans="1:12" ht="15" customHeight="1" x14ac:dyDescent="0.2">
      <c r="A6" s="239" t="s">
        <v>787</v>
      </c>
      <c r="B6" s="239"/>
      <c r="C6" s="239"/>
      <c r="D6" s="239"/>
      <c r="E6" s="239"/>
      <c r="F6" s="239"/>
      <c r="G6" s="239"/>
      <c r="H6" s="239" t="str">
        <f>IFERROR(IF(Indice!B6="","Al dia... de mes… de año 2XX2…","Al "&amp;DAY(Indice!B6)&amp;" de "&amp;VLOOKUP(MONTH(Indice!B6),Indice!P:Q,2,0)&amp;" de "&amp;YEAR(Indice!B6)),"Al dia... de mes… de año 2XX2…")</f>
        <v>Al 31 de Diciembre de 2024</v>
      </c>
      <c r="I6" s="448"/>
      <c r="J6" s="3"/>
      <c r="K6" s="3"/>
      <c r="L6" s="3"/>
    </row>
    <row r="7" spans="1:12" ht="15" customHeight="1" x14ac:dyDescent="0.2">
      <c r="A7" s="3" t="s">
        <v>788</v>
      </c>
      <c r="B7" s="3"/>
      <c r="C7" s="3"/>
      <c r="D7" s="3"/>
      <c r="E7" s="3"/>
      <c r="F7" s="3" t="str">
        <f>IFERROR("Al "&amp;DAY(Indice!B6)&amp;" de "&amp;VLOOKUP(MONTH(Indice!B6),Indice!P:Q,2,0)&amp;" de "&amp;YEAR(Indice!B6-366),"Al dia... de mes… de año 2XX1…")</f>
        <v>Al 31 de Diciembre de 2023</v>
      </c>
      <c r="G7" s="3"/>
      <c r="H7" s="3"/>
      <c r="I7" s="449"/>
      <c r="J7" s="3"/>
      <c r="K7" s="3"/>
      <c r="L7" s="3"/>
    </row>
    <row r="8" spans="1:12" ht="15" customHeight="1" x14ac:dyDescent="0.2">
      <c r="A8" s="610" t="s">
        <v>39</v>
      </c>
      <c r="B8" s="610"/>
      <c r="C8" s="610"/>
      <c r="D8" s="610"/>
      <c r="E8" s="610"/>
      <c r="F8" s="610"/>
      <c r="G8" s="610"/>
      <c r="H8" s="610"/>
      <c r="I8" s="611"/>
      <c r="J8" s="1"/>
      <c r="K8" s="1"/>
      <c r="L8" s="1"/>
    </row>
    <row r="9" spans="1:12" ht="15" customHeight="1" x14ac:dyDescent="0.2">
      <c r="A9" s="1"/>
      <c r="B9" s="1"/>
      <c r="C9" s="1"/>
      <c r="D9" s="1"/>
      <c r="E9" s="1"/>
      <c r="F9" s="1"/>
      <c r="G9" s="1"/>
      <c r="H9" s="1"/>
      <c r="I9" s="450"/>
      <c r="J9" s="1"/>
      <c r="K9" s="1"/>
      <c r="L9" s="1"/>
    </row>
    <row r="10" spans="1:12" ht="15" customHeight="1" x14ac:dyDescent="0.2">
      <c r="I10" s="30"/>
    </row>
    <row r="11" spans="1:12" ht="15" customHeight="1" x14ac:dyDescent="0.2">
      <c r="A11" s="263" t="s">
        <v>0</v>
      </c>
      <c r="B11" s="264"/>
      <c r="C11" s="264"/>
      <c r="D11" s="264"/>
      <c r="E11" s="264"/>
      <c r="F11" s="264"/>
      <c r="G11" s="264"/>
      <c r="H11" s="264"/>
      <c r="I11" s="265"/>
      <c r="J11" s="609"/>
      <c r="K11" s="609"/>
      <c r="L11" s="609"/>
    </row>
    <row r="12" spans="1:12" ht="15" customHeight="1" x14ac:dyDescent="0.2">
      <c r="A12" s="451" t="s">
        <v>1018</v>
      </c>
      <c r="B12" s="451"/>
      <c r="C12" s="451"/>
      <c r="D12" s="451"/>
      <c r="E12" s="451"/>
      <c r="F12" s="451"/>
      <c r="G12" s="451"/>
      <c r="H12" s="451"/>
      <c r="I12" s="452"/>
    </row>
    <row r="13" spans="1:12" ht="15" customHeight="1" x14ac:dyDescent="0.2">
      <c r="A13" s="451" t="s">
        <v>1019</v>
      </c>
      <c r="B13" s="349"/>
      <c r="C13" s="349"/>
      <c r="D13" s="349"/>
      <c r="E13" s="349"/>
      <c r="F13" s="349"/>
      <c r="G13" s="349"/>
      <c r="H13" s="349"/>
      <c r="I13" s="350"/>
      <c r="J13" s="1"/>
      <c r="K13" s="1"/>
      <c r="L13" s="1"/>
    </row>
    <row r="14" spans="1:12" ht="15" customHeight="1" x14ac:dyDescent="0.2">
      <c r="A14" s="451" t="s">
        <v>1020</v>
      </c>
      <c r="B14" s="349"/>
      <c r="C14" s="349"/>
      <c r="D14" s="349"/>
      <c r="E14" s="349"/>
      <c r="F14" s="349"/>
      <c r="G14" s="349"/>
      <c r="H14" s="349"/>
      <c r="I14" s="350"/>
    </row>
    <row r="15" spans="1:12" ht="15" customHeight="1" x14ac:dyDescent="0.2">
      <c r="A15" s="451"/>
      <c r="B15" s="349"/>
      <c r="C15" s="349"/>
      <c r="D15" s="349"/>
      <c r="E15" s="349"/>
      <c r="F15" s="349"/>
      <c r="G15" s="349"/>
      <c r="H15" s="349"/>
      <c r="I15" s="350"/>
    </row>
    <row r="16" spans="1:12" ht="15" customHeight="1" x14ac:dyDescent="0.2">
      <c r="A16" s="451" t="s">
        <v>1021</v>
      </c>
      <c r="B16" s="349"/>
      <c r="C16" s="349"/>
      <c r="D16" s="349"/>
      <c r="E16" s="349"/>
      <c r="F16" s="349"/>
      <c r="G16" s="349"/>
      <c r="H16" s="349"/>
      <c r="I16" s="350"/>
    </row>
    <row r="17" spans="1:9" ht="15" customHeight="1" x14ac:dyDescent="0.2">
      <c r="A17" s="451" t="s">
        <v>1022</v>
      </c>
      <c r="B17" s="349"/>
      <c r="C17" s="349"/>
      <c r="D17" s="349"/>
      <c r="E17" s="349"/>
      <c r="F17" s="349"/>
      <c r="G17" s="349"/>
      <c r="H17" s="349"/>
      <c r="I17" s="350"/>
    </row>
    <row r="18" spans="1:9" ht="15" customHeight="1" x14ac:dyDescent="0.2">
      <c r="A18" s="451"/>
      <c r="B18" s="349"/>
      <c r="C18" s="349"/>
      <c r="D18" s="349"/>
      <c r="E18" s="349"/>
      <c r="F18" s="349"/>
      <c r="G18" s="349"/>
      <c r="H18" s="349"/>
      <c r="I18" s="350"/>
    </row>
    <row r="19" spans="1:9" ht="15" customHeight="1" x14ac:dyDescent="0.2">
      <c r="A19" s="451" t="s">
        <v>1023</v>
      </c>
      <c r="B19" s="349"/>
      <c r="C19" s="349"/>
      <c r="D19" s="349"/>
      <c r="E19" s="349"/>
      <c r="F19" s="349"/>
      <c r="G19" s="349"/>
      <c r="H19" s="349"/>
      <c r="I19" s="350"/>
    </row>
    <row r="20" spans="1:9" ht="15" customHeight="1" x14ac:dyDescent="0.2">
      <c r="A20" s="451" t="s">
        <v>1024</v>
      </c>
      <c r="B20" s="349"/>
      <c r="C20" s="349"/>
      <c r="D20" s="349"/>
      <c r="E20" s="349"/>
      <c r="F20" s="349"/>
      <c r="G20" s="349"/>
      <c r="H20" s="349"/>
      <c r="I20" s="350"/>
    </row>
    <row r="21" spans="1:9" ht="15" customHeight="1" x14ac:dyDescent="0.2">
      <c r="A21" s="451"/>
      <c r="B21" s="349"/>
      <c r="C21" s="349"/>
      <c r="D21" s="349"/>
      <c r="E21" s="349"/>
      <c r="F21" s="349"/>
      <c r="G21" s="349"/>
      <c r="H21" s="349"/>
      <c r="I21" s="350"/>
    </row>
    <row r="22" spans="1:9" ht="15" customHeight="1" x14ac:dyDescent="0.2">
      <c r="A22" s="451" t="s">
        <v>1025</v>
      </c>
      <c r="B22" s="349"/>
      <c r="C22" s="349"/>
      <c r="D22" s="349"/>
      <c r="E22" s="349"/>
      <c r="F22" s="349"/>
      <c r="G22" s="349"/>
      <c r="H22" s="349"/>
      <c r="I22" s="350"/>
    </row>
    <row r="23" spans="1:9" ht="15" customHeight="1" x14ac:dyDescent="0.2">
      <c r="A23" s="451" t="s">
        <v>1026</v>
      </c>
      <c r="B23" s="349"/>
      <c r="C23" s="349"/>
      <c r="D23" s="349"/>
      <c r="E23" s="349"/>
      <c r="F23" s="349"/>
      <c r="G23" s="349"/>
      <c r="H23" s="349"/>
      <c r="I23" s="350"/>
    </row>
    <row r="24" spans="1:9" ht="15" customHeight="1" x14ac:dyDescent="0.2">
      <c r="A24" s="451"/>
      <c r="B24" s="349"/>
      <c r="C24" s="349"/>
      <c r="D24" s="349"/>
      <c r="E24" s="349"/>
      <c r="F24" s="349"/>
      <c r="G24" s="349"/>
      <c r="H24" s="349"/>
      <c r="I24" s="350"/>
    </row>
    <row r="25" spans="1:9" ht="15" customHeight="1" x14ac:dyDescent="0.2">
      <c r="A25" s="451" t="s">
        <v>1027</v>
      </c>
      <c r="B25" s="349"/>
      <c r="C25" s="349"/>
      <c r="D25" s="349"/>
      <c r="E25" s="349"/>
      <c r="F25" s="349"/>
      <c r="G25" s="349"/>
      <c r="H25" s="349"/>
      <c r="I25" s="350"/>
    </row>
    <row r="26" spans="1:9" ht="15" customHeight="1" x14ac:dyDescent="0.2">
      <c r="A26" s="451" t="s">
        <v>1028</v>
      </c>
      <c r="B26" s="349"/>
      <c r="C26" s="349"/>
      <c r="D26" s="349"/>
      <c r="E26" s="349"/>
      <c r="F26" s="349"/>
      <c r="G26" s="349"/>
      <c r="H26" s="349"/>
      <c r="I26" s="350"/>
    </row>
    <row r="27" spans="1:9" ht="15" customHeight="1" x14ac:dyDescent="0.2">
      <c r="A27" s="451" t="s">
        <v>1029</v>
      </c>
      <c r="B27" s="349"/>
      <c r="C27" s="349"/>
      <c r="D27" s="349"/>
      <c r="E27" s="349"/>
      <c r="F27" s="349"/>
      <c r="G27" s="349"/>
      <c r="H27" s="349"/>
      <c r="I27" s="350"/>
    </row>
    <row r="28" spans="1:9" ht="15" customHeight="1" x14ac:dyDescent="0.2">
      <c r="A28" s="451" t="s">
        <v>1030</v>
      </c>
      <c r="I28" s="30"/>
    </row>
    <row r="29" spans="1:9" ht="15" customHeight="1" x14ac:dyDescent="0.2">
      <c r="A29" s="451"/>
      <c r="I29" s="30"/>
    </row>
    <row r="30" spans="1:9" ht="15" customHeight="1" x14ac:dyDescent="0.2">
      <c r="A30" s="451" t="s">
        <v>1031</v>
      </c>
      <c r="I30" s="30"/>
    </row>
    <row r="31" spans="1:9" ht="15" customHeight="1" x14ac:dyDescent="0.2">
      <c r="A31" s="451" t="s">
        <v>1032</v>
      </c>
      <c r="I31" s="30"/>
    </row>
    <row r="32" spans="1:9" ht="15" customHeight="1" x14ac:dyDescent="0.2">
      <c r="A32" s="451" t="s">
        <v>1033</v>
      </c>
      <c r="I32" s="30"/>
    </row>
    <row r="33" spans="1:9" ht="15" customHeight="1" x14ac:dyDescent="0.2">
      <c r="A33" s="451" t="s">
        <v>1034</v>
      </c>
      <c r="I33" s="30"/>
    </row>
    <row r="34" spans="1:9" ht="15" customHeight="1" x14ac:dyDescent="0.2">
      <c r="A34" s="50" t="s">
        <v>1035</v>
      </c>
      <c r="I34" s="30"/>
    </row>
    <row r="35" spans="1:9" ht="15" customHeight="1" x14ac:dyDescent="0.2">
      <c r="A35" s="50" t="s">
        <v>1036</v>
      </c>
      <c r="I35" s="30"/>
    </row>
    <row r="36" spans="1:9" ht="15" customHeight="1" x14ac:dyDescent="0.2">
      <c r="A36" s="50"/>
      <c r="I36" s="30"/>
    </row>
    <row r="37" spans="1:9" ht="15" customHeight="1" x14ac:dyDescent="0.2">
      <c r="A37" s="50" t="s">
        <v>1037</v>
      </c>
      <c r="I37" s="30"/>
    </row>
    <row r="38" spans="1:9" ht="15" customHeight="1" x14ac:dyDescent="0.2">
      <c r="A38" s="50" t="s">
        <v>1090</v>
      </c>
      <c r="I38" s="30"/>
    </row>
    <row r="39" spans="1:9" ht="15" customHeight="1" x14ac:dyDescent="0.2">
      <c r="A39" s="351" t="s">
        <v>1091</v>
      </c>
      <c r="I39" s="30"/>
    </row>
    <row r="40" spans="1:9" ht="15" customHeight="1" x14ac:dyDescent="0.2">
      <c r="A40" s="351" t="s">
        <v>1092</v>
      </c>
      <c r="I40" s="30"/>
    </row>
    <row r="41" spans="1:9" ht="15" customHeight="1" x14ac:dyDescent="0.2">
      <c r="A41" s="351" t="s">
        <v>1038</v>
      </c>
      <c r="I41" s="30"/>
    </row>
    <row r="42" spans="1:9" ht="15" customHeight="1" x14ac:dyDescent="0.2">
      <c r="A42" s="351" t="s">
        <v>1039</v>
      </c>
      <c r="I42" s="30"/>
    </row>
    <row r="43" spans="1:9" ht="15" customHeight="1" x14ac:dyDescent="0.2">
      <c r="A43" s="351"/>
      <c r="I43" s="30"/>
    </row>
    <row r="44" spans="1:9" s="351" customFormat="1" ht="15" customHeight="1" x14ac:dyDescent="0.2">
      <c r="A44" s="351" t="s">
        <v>1040</v>
      </c>
      <c r="I44" s="453"/>
    </row>
    <row r="45" spans="1:9" s="351" customFormat="1" ht="15" customHeight="1" x14ac:dyDescent="0.2">
      <c r="A45" s="351" t="s">
        <v>1041</v>
      </c>
      <c r="I45" s="453"/>
    </row>
    <row r="46" spans="1:9" s="351" customFormat="1" ht="15" customHeight="1" x14ac:dyDescent="0.2">
      <c r="A46" s="351" t="s">
        <v>1042</v>
      </c>
      <c r="I46" s="453"/>
    </row>
    <row r="47" spans="1:9" s="351" customFormat="1" ht="15" customHeight="1" x14ac:dyDescent="0.2">
      <c r="A47" s="351" t="s">
        <v>1043</v>
      </c>
      <c r="I47" s="453"/>
    </row>
    <row r="48" spans="1:9" s="351" customFormat="1" ht="15" customHeight="1" x14ac:dyDescent="0.2">
      <c r="A48" s="351" t="s">
        <v>1044</v>
      </c>
      <c r="I48" s="453"/>
    </row>
    <row r="49" spans="1:9" s="351" customFormat="1" ht="15" customHeight="1" x14ac:dyDescent="0.2">
      <c r="A49" s="351" t="s">
        <v>1045</v>
      </c>
      <c r="I49" s="453"/>
    </row>
    <row r="50" spans="1:9" s="351" customFormat="1" ht="15" customHeight="1" x14ac:dyDescent="0.2">
      <c r="I50" s="453"/>
    </row>
    <row r="51" spans="1:9" s="351" customFormat="1" ht="15" customHeight="1" x14ac:dyDescent="0.2">
      <c r="A51" s="351" t="s">
        <v>1093</v>
      </c>
      <c r="I51" s="453"/>
    </row>
    <row r="52" spans="1:9" s="351" customFormat="1" ht="15" customHeight="1" x14ac:dyDescent="0.2">
      <c r="A52" s="351" t="s">
        <v>1094</v>
      </c>
      <c r="I52" s="453"/>
    </row>
    <row r="53" spans="1:9" s="351" customFormat="1" ht="15" customHeight="1" x14ac:dyDescent="0.2">
      <c r="A53" s="351" t="s">
        <v>1095</v>
      </c>
      <c r="I53" s="453"/>
    </row>
    <row r="54" spans="1:9" s="351" customFormat="1" ht="15" customHeight="1" x14ac:dyDescent="0.2">
      <c r="A54" s="351" t="s">
        <v>1096</v>
      </c>
      <c r="I54" s="453"/>
    </row>
    <row r="55" spans="1:9" s="351" customFormat="1" ht="15" customHeight="1" x14ac:dyDescent="0.2">
      <c r="I55" s="453"/>
    </row>
    <row r="56" spans="1:9" ht="15" customHeight="1" x14ac:dyDescent="0.2">
      <c r="A56" s="351" t="s">
        <v>1097</v>
      </c>
      <c r="B56" s="351"/>
      <c r="C56" s="351"/>
      <c r="D56" s="351"/>
      <c r="E56" s="351"/>
      <c r="F56" s="351"/>
      <c r="G56" s="351"/>
      <c r="H56" s="351"/>
      <c r="I56" s="453"/>
    </row>
    <row r="57" spans="1:9" ht="15" customHeight="1" x14ac:dyDescent="0.2">
      <c r="A57" s="351" t="s">
        <v>1098</v>
      </c>
      <c r="B57" s="351"/>
      <c r="C57" s="351"/>
      <c r="D57" s="351"/>
      <c r="E57" s="351"/>
      <c r="F57" s="351"/>
      <c r="G57" s="351"/>
      <c r="H57" s="351"/>
      <c r="I57" s="453"/>
    </row>
    <row r="58" spans="1:9" ht="15" customHeight="1" x14ac:dyDescent="0.2">
      <c r="A58" s="351"/>
      <c r="B58" s="351"/>
      <c r="C58" s="351"/>
      <c r="D58" s="351"/>
      <c r="E58" s="351"/>
      <c r="F58" s="351"/>
      <c r="G58" s="351"/>
      <c r="H58" s="351"/>
      <c r="I58" s="453"/>
    </row>
    <row r="59" spans="1:9" ht="15" customHeight="1" x14ac:dyDescent="0.2">
      <c r="A59" s="451" t="s">
        <v>1046</v>
      </c>
      <c r="I59" s="30"/>
    </row>
    <row r="60" spans="1:9" ht="15" customHeight="1" x14ac:dyDescent="0.2">
      <c r="A60" s="451" t="s">
        <v>1047</v>
      </c>
      <c r="I60" s="30"/>
    </row>
    <row r="61" spans="1:9" ht="15" customHeight="1" x14ac:dyDescent="0.2">
      <c r="A61" s="451" t="s">
        <v>1048</v>
      </c>
      <c r="I61" s="30"/>
    </row>
    <row r="62" spans="1:9" ht="15" customHeight="1" x14ac:dyDescent="0.2">
      <c r="A62" s="451" t="s">
        <v>1049</v>
      </c>
      <c r="I62" s="30"/>
    </row>
    <row r="63" spans="1:9" ht="15" customHeight="1" x14ac:dyDescent="0.2">
      <c r="A63" s="451" t="s">
        <v>1050</v>
      </c>
      <c r="I63" s="30"/>
    </row>
    <row r="64" spans="1:9" s="351" customFormat="1" ht="15" customHeight="1" x14ac:dyDescent="0.2">
      <c r="A64" s="451" t="s">
        <v>1051</v>
      </c>
      <c r="B64" s="29"/>
      <c r="C64" s="29"/>
      <c r="D64" s="29"/>
      <c r="E64" s="29"/>
      <c r="F64" s="29"/>
      <c r="G64" s="29"/>
      <c r="H64" s="29"/>
      <c r="I64" s="30"/>
    </row>
    <row r="65" spans="1:9" ht="15" customHeight="1" x14ac:dyDescent="0.2">
      <c r="A65" s="451" t="s">
        <v>1052</v>
      </c>
      <c r="I65" s="30"/>
    </row>
    <row r="66" spans="1:9" ht="15" customHeight="1" x14ac:dyDescent="0.2">
      <c r="A66" s="451" t="s">
        <v>1053</v>
      </c>
      <c r="I66" s="30"/>
    </row>
    <row r="67" spans="1:9" ht="15" customHeight="1" x14ac:dyDescent="0.2">
      <c r="A67" s="351"/>
      <c r="B67" s="351"/>
      <c r="C67" s="351"/>
      <c r="D67" s="351"/>
      <c r="E67" s="351"/>
      <c r="F67" s="351"/>
      <c r="G67" s="351"/>
      <c r="H67" s="351"/>
      <c r="I67" s="453"/>
    </row>
    <row r="68" spans="1:9" ht="15" customHeight="1" x14ac:dyDescent="0.2">
      <c r="A68" s="451" t="s">
        <v>1054</v>
      </c>
      <c r="I68" s="30"/>
    </row>
    <row r="69" spans="1:9" x14ac:dyDescent="0.2">
      <c r="A69" s="451" t="s">
        <v>1055</v>
      </c>
      <c r="I69" s="30"/>
    </row>
    <row r="70" spans="1:9" x14ac:dyDescent="0.2">
      <c r="A70" s="454" t="s">
        <v>1056</v>
      </c>
      <c r="I70" s="30"/>
    </row>
    <row r="71" spans="1:9" x14ac:dyDescent="0.2">
      <c r="A71" s="31"/>
      <c r="B71" s="32"/>
      <c r="C71" s="32"/>
      <c r="D71" s="32"/>
      <c r="E71" s="32"/>
      <c r="F71" s="32"/>
      <c r="G71" s="32"/>
      <c r="H71" s="32"/>
      <c r="I71" s="33"/>
    </row>
  </sheetData>
  <mergeCells count="2">
    <mergeCell ref="J11:L11"/>
    <mergeCell ref="A8:I8"/>
  </mergeCells>
  <hyperlinks>
    <hyperlink ref="I1" location="BG!A1" display="BG" xr:uid="{00000000-0004-0000-0500-000000000000}"/>
  </hyperlinks>
  <printOptions horizontalCentered="1"/>
  <pageMargins left="0.70866141732283472" right="0.70866141732283472" top="0.74803149606299213" bottom="0.74803149606299213" header="0.31496062992125984" footer="0.31496062992125984"/>
  <pageSetup paperSize="9" scale="7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tabColor rgb="FFFFFF00"/>
  </sheetPr>
  <dimension ref="A1:S109"/>
  <sheetViews>
    <sheetView showGridLines="0" topLeftCell="A17" zoomScaleNormal="100" zoomScaleSheetLayoutView="90" workbookViewId="0">
      <selection activeCell="A20" sqref="A20:I20"/>
    </sheetView>
  </sheetViews>
  <sheetFormatPr baseColWidth="10" defaultColWidth="11.42578125" defaultRowHeight="12.75" x14ac:dyDescent="0.2"/>
  <cols>
    <col min="1" max="1" width="14.140625" style="2" customWidth="1"/>
    <col min="2" max="2" width="14.85546875" style="2" customWidth="1"/>
    <col min="3" max="3" width="15.28515625" style="2" customWidth="1"/>
    <col min="4" max="4" width="17.140625" style="2" customWidth="1"/>
    <col min="5" max="5" width="5" style="2" customWidth="1"/>
    <col min="6" max="6" width="14.7109375" style="2" bestFit="1" customWidth="1"/>
    <col min="7" max="7" width="17.5703125" style="2" customWidth="1"/>
    <col min="8" max="8" width="17.28515625" style="2" bestFit="1" customWidth="1"/>
    <col min="9" max="9" width="3.42578125" style="2" bestFit="1" customWidth="1"/>
    <col min="10" max="10" width="8.140625" style="2" customWidth="1"/>
    <col min="11" max="11" width="13.85546875" style="2" customWidth="1"/>
    <col min="12" max="13" width="9.28515625" style="2" customWidth="1"/>
    <col min="14" max="14" width="8.140625" style="2" customWidth="1"/>
    <col min="15" max="15" width="6.28515625" style="2" customWidth="1"/>
    <col min="16" max="16" width="12" style="2" customWidth="1"/>
    <col min="17" max="17" width="8.140625" style="2" customWidth="1"/>
    <col min="18" max="18" width="6.28515625" style="2" customWidth="1"/>
    <col min="19" max="19" width="12.5703125" style="2" customWidth="1"/>
    <col min="20" max="20" width="8.140625" style="2" customWidth="1"/>
    <col min="21" max="16384" width="11.42578125" style="2"/>
  </cols>
  <sheetData>
    <row r="1" spans="1:11" ht="15" customHeight="1" x14ac:dyDescent="0.25">
      <c r="A1" s="2" t="str">
        <f>Indice!C1</f>
        <v>SALLUSTRO Y CIA. S.A.</v>
      </c>
      <c r="I1" s="121" t="s">
        <v>117</v>
      </c>
    </row>
    <row r="2" spans="1:11" ht="15" customHeight="1" x14ac:dyDescent="0.2"/>
    <row r="3" spans="1:11" ht="15" customHeight="1" x14ac:dyDescent="0.2"/>
    <row r="4" spans="1:11" ht="15" customHeight="1" x14ac:dyDescent="0.2"/>
    <row r="5" spans="1:11" ht="15" customHeight="1" x14ac:dyDescent="0.2"/>
    <row r="6" spans="1:11" ht="15" customHeight="1" x14ac:dyDescent="0.2">
      <c r="A6" s="636" t="s">
        <v>1</v>
      </c>
      <c r="B6" s="637"/>
      <c r="C6" s="637"/>
      <c r="D6" s="637"/>
      <c r="E6" s="637"/>
      <c r="F6" s="637"/>
      <c r="G6" s="637"/>
      <c r="H6" s="637"/>
      <c r="I6" s="638"/>
    </row>
    <row r="7" spans="1:11" ht="26.45" customHeight="1" x14ac:dyDescent="0.2">
      <c r="A7" s="642" t="s">
        <v>144</v>
      </c>
      <c r="B7" s="643"/>
      <c r="C7" s="643"/>
      <c r="D7" s="643"/>
      <c r="E7" s="643"/>
      <c r="F7" s="643"/>
      <c r="G7" s="643"/>
      <c r="H7" s="643"/>
      <c r="I7" s="644"/>
      <c r="J7" s="3"/>
      <c r="K7" s="3"/>
    </row>
    <row r="8" spans="1:11" ht="15" customHeight="1" x14ac:dyDescent="0.2">
      <c r="A8" s="82"/>
      <c r="I8" s="83"/>
    </row>
    <row r="9" spans="1:11" ht="15" customHeight="1" x14ac:dyDescent="0.2">
      <c r="A9" s="82"/>
      <c r="I9" s="83"/>
    </row>
    <row r="10" spans="1:11" ht="15" customHeight="1" x14ac:dyDescent="0.2">
      <c r="A10" s="648" t="s">
        <v>174</v>
      </c>
      <c r="B10" s="634"/>
      <c r="C10" s="634"/>
      <c r="D10" s="634"/>
      <c r="E10" s="634"/>
      <c r="F10" s="634"/>
      <c r="G10" s="634"/>
      <c r="H10" s="634"/>
      <c r="I10" s="635"/>
      <c r="J10" s="3"/>
      <c r="K10" s="3"/>
    </row>
    <row r="11" spans="1:11" s="50" customFormat="1" ht="55.5" customHeight="1" x14ac:dyDescent="0.2">
      <c r="A11" s="645" t="s">
        <v>825</v>
      </c>
      <c r="B11" s="612"/>
      <c r="C11" s="612"/>
      <c r="D11" s="612"/>
      <c r="E11" s="612"/>
      <c r="F11" s="612"/>
      <c r="G11" s="612"/>
      <c r="H11" s="612"/>
      <c r="I11" s="613"/>
    </row>
    <row r="12" spans="1:11" s="50" customFormat="1" ht="37.5" customHeight="1" x14ac:dyDescent="0.2">
      <c r="A12" s="639" t="s">
        <v>826</v>
      </c>
      <c r="B12" s="640"/>
      <c r="C12" s="640"/>
      <c r="D12" s="640"/>
      <c r="E12" s="640"/>
      <c r="F12" s="640"/>
      <c r="G12" s="640"/>
      <c r="H12" s="640"/>
      <c r="I12" s="641"/>
    </row>
    <row r="13" spans="1:11" s="50" customFormat="1" ht="15" customHeight="1" x14ac:dyDescent="0.2">
      <c r="A13" s="186"/>
      <c r="B13" s="187"/>
      <c r="C13" s="187"/>
      <c r="D13" s="187"/>
      <c r="E13" s="187"/>
      <c r="F13" s="187"/>
      <c r="G13" s="187"/>
      <c r="H13" s="187"/>
      <c r="I13" s="188"/>
    </row>
    <row r="14" spans="1:11" ht="15" customHeight="1" x14ac:dyDescent="0.2">
      <c r="A14" s="627"/>
      <c r="B14" s="615"/>
      <c r="C14" s="615"/>
      <c r="D14" s="615"/>
      <c r="E14" s="615"/>
      <c r="F14" s="615"/>
      <c r="G14" s="615"/>
      <c r="H14" s="615"/>
      <c r="I14" s="618"/>
    </row>
    <row r="15" spans="1:11" ht="15" customHeight="1" x14ac:dyDescent="0.2">
      <c r="A15" s="628" t="s">
        <v>92</v>
      </c>
      <c r="B15" s="616"/>
      <c r="C15" s="616"/>
      <c r="D15" s="616"/>
      <c r="E15" s="616"/>
      <c r="F15" s="616"/>
      <c r="G15" s="616"/>
      <c r="H15" s="616"/>
      <c r="I15" s="617"/>
      <c r="J15" s="3"/>
      <c r="K15" s="3"/>
    </row>
    <row r="16" spans="1:11" ht="42.75" customHeight="1" x14ac:dyDescent="0.2">
      <c r="A16" s="639" t="s">
        <v>145</v>
      </c>
      <c r="B16" s="640"/>
      <c r="C16" s="640"/>
      <c r="D16" s="640"/>
      <c r="E16" s="640"/>
      <c r="F16" s="640"/>
      <c r="G16" s="640"/>
      <c r="H16" s="640"/>
      <c r="I16" s="641"/>
    </row>
    <row r="17" spans="1:19" ht="15" customHeight="1" x14ac:dyDescent="0.2">
      <c r="A17" s="627"/>
      <c r="B17" s="615"/>
      <c r="C17" s="615"/>
      <c r="D17" s="615"/>
      <c r="E17" s="615"/>
      <c r="F17" s="615"/>
      <c r="G17" s="615"/>
      <c r="H17" s="615"/>
      <c r="I17" s="618"/>
    </row>
    <row r="18" spans="1:19" ht="15" customHeight="1" x14ac:dyDescent="0.2">
      <c r="A18" s="628" t="s">
        <v>93</v>
      </c>
      <c r="B18" s="616"/>
      <c r="C18" s="616"/>
      <c r="D18" s="616"/>
      <c r="E18" s="616"/>
      <c r="F18" s="616"/>
      <c r="G18" s="616"/>
      <c r="H18" s="616"/>
      <c r="I18" s="617"/>
      <c r="J18" s="3"/>
      <c r="K18" s="3"/>
    </row>
    <row r="19" spans="1:19" ht="15" customHeight="1" x14ac:dyDescent="0.2">
      <c r="A19" s="639" t="s">
        <v>325</v>
      </c>
      <c r="B19" s="640"/>
      <c r="C19" s="640"/>
      <c r="D19" s="640"/>
      <c r="E19" s="640"/>
      <c r="F19" s="640"/>
      <c r="G19" s="640"/>
      <c r="H19" s="640"/>
      <c r="I19" s="641"/>
    </row>
    <row r="20" spans="1:19" ht="28.5" customHeight="1" x14ac:dyDescent="0.2">
      <c r="A20" s="639" t="s">
        <v>146</v>
      </c>
      <c r="B20" s="640"/>
      <c r="C20" s="640"/>
      <c r="D20" s="640"/>
      <c r="E20" s="640"/>
      <c r="F20" s="640"/>
      <c r="G20" s="640"/>
      <c r="H20" s="640"/>
      <c r="I20" s="641"/>
    </row>
    <row r="21" spans="1:19" ht="15" customHeight="1" x14ac:dyDescent="0.2">
      <c r="A21" s="203"/>
      <c r="B21" s="204"/>
      <c r="C21" s="204"/>
      <c r="D21" s="204"/>
      <c r="E21" s="204"/>
      <c r="F21" s="204"/>
      <c r="G21" s="204"/>
      <c r="H21" s="204"/>
      <c r="I21" s="205"/>
    </row>
    <row r="22" spans="1:19" ht="15" customHeight="1" x14ac:dyDescent="0.25">
      <c r="A22" s="147"/>
      <c r="B22" s="103"/>
      <c r="G22" s="103"/>
      <c r="I22" s="83"/>
      <c r="L22" s="330" t="s">
        <v>1247</v>
      </c>
      <c r="M22" s="330" t="s">
        <v>1197</v>
      </c>
    </row>
    <row r="23" spans="1:19" ht="15" customHeight="1" x14ac:dyDescent="0.25">
      <c r="A23" s="103"/>
      <c r="B23" s="303"/>
      <c r="C23" s="303">
        <f>IFERROR(IF(Indice!B6="","2XX2",YEAR(Indice!B6)),"2XX2")</f>
        <v>2024</v>
      </c>
      <c r="D23" s="303"/>
      <c r="E23" s="103"/>
      <c r="F23" s="303"/>
      <c r="G23" s="303">
        <f>IFERROR(YEAR(Indice!B6-366),"2XX1")</f>
        <v>2023</v>
      </c>
      <c r="H23" s="303"/>
      <c r="I23" s="148"/>
      <c r="J23" s="103"/>
      <c r="K23" s="2" t="s">
        <v>930</v>
      </c>
      <c r="L23" s="509">
        <v>7812.22</v>
      </c>
      <c r="M23" s="509">
        <v>7263.59</v>
      </c>
      <c r="O23" s="402">
        <f>+(L23-M23)/M23</f>
        <v>7.5531520914589076E-2</v>
      </c>
      <c r="P23" s="2">
        <f>+O23*100</f>
        <v>7.5531520914589079</v>
      </c>
    </row>
    <row r="24" spans="1:19" ht="35.25" customHeight="1" x14ac:dyDescent="0.25">
      <c r="A24" s="103"/>
      <c r="B24" s="107" t="s">
        <v>95</v>
      </c>
      <c r="C24" s="168" t="s">
        <v>160</v>
      </c>
      <c r="D24" s="168" t="s">
        <v>161</v>
      </c>
      <c r="F24" s="107" t="s">
        <v>95</v>
      </c>
      <c r="G24" s="168" t="s">
        <v>160</v>
      </c>
      <c r="H24" s="168" t="s">
        <v>161</v>
      </c>
      <c r="I24" s="83"/>
      <c r="K24" s="2" t="s">
        <v>931</v>
      </c>
      <c r="L24" s="509">
        <v>7843.41</v>
      </c>
      <c r="M24" s="509">
        <v>7283.62</v>
      </c>
      <c r="O24" s="402">
        <f>+(L24-M24)/M24</f>
        <v>7.685601390517352E-2</v>
      </c>
      <c r="P24" s="2">
        <f>+O24*100</f>
        <v>7.6856013905173519</v>
      </c>
    </row>
    <row r="25" spans="1:19" ht="15" customHeight="1" x14ac:dyDescent="0.25">
      <c r="A25" s="103" t="s">
        <v>94</v>
      </c>
      <c r="B25" s="103" t="s">
        <v>1212</v>
      </c>
      <c r="C25" s="103" t="s">
        <v>838</v>
      </c>
      <c r="D25" s="365">
        <f>+SUM('Nota 3'!C36:C50)+'Nota 4'!B10+'Nota 5'!C10+'Nota 5'!C12+'Nota 5'!C14+'Nota 5'!C22+'Nota 5'!C23+'Nota 5'!C24+'Nota 5'!C34+'Nota 5'!C36+'Nota 5'!C40+'Nota 5'!C41+'Nota 5'!C45+'Nota 6'!B12++'Nota 6'!B30</f>
        <v>49562036300.330002</v>
      </c>
      <c r="E25" s="103"/>
      <c r="F25" s="103" t="s">
        <v>1212</v>
      </c>
      <c r="G25" s="400" t="s">
        <v>838</v>
      </c>
      <c r="H25" s="365">
        <f>+SUM('Nota 3'!D36:D49)+'Nota 4'!C10+'Nota 5'!D10+'Nota 5'!D12+'Nota 5'!D14+'Nota 5'!D22+'Nota 5'!D23+'Nota 5'!D24+'Nota 5'!D34+'Nota 5'!D36+'Nota 5'!D40+'Nota 5'!D45+'Nota 6'!C12</f>
        <v>42911211008.269997</v>
      </c>
      <c r="I25" s="148"/>
      <c r="J25" s="103"/>
      <c r="K25" s="399"/>
      <c r="L25" s="402"/>
      <c r="R25" s="402">
        <f>+(D25-H25)/H25</f>
        <v>0.15499038912647409</v>
      </c>
      <c r="S25" s="2">
        <f>+R25*100</f>
        <v>15.499038912647409</v>
      </c>
    </row>
    <row r="26" spans="1:19" ht="15" customHeight="1" x14ac:dyDescent="0.25">
      <c r="A26" s="103"/>
      <c r="B26" s="103"/>
      <c r="C26" s="103"/>
      <c r="D26" s="103"/>
      <c r="E26" s="103"/>
      <c r="F26" s="103"/>
      <c r="G26" s="103"/>
      <c r="H26" s="399"/>
      <c r="I26" s="148"/>
      <c r="J26" s="103"/>
      <c r="K26" s="401">
        <f>(D25-H25)/H25</f>
        <v>0.15499038912647409</v>
      </c>
      <c r="M26" s="401"/>
      <c r="N26" s="543"/>
    </row>
    <row r="27" spans="1:19" ht="15" customHeight="1" x14ac:dyDescent="0.25">
      <c r="A27" s="103" t="s">
        <v>96</v>
      </c>
      <c r="B27" s="103" t="s">
        <v>1212</v>
      </c>
      <c r="C27" s="103" t="s">
        <v>838</v>
      </c>
      <c r="D27" s="365">
        <f>+'Nota 13'!D10+'Nota 13'!D11+'Nota 14'!E29+'Nota 14'!E30+'Nota 14'!E31+'Nota 14'!E34+'Nota 14'!E54+'Nota 14'!E69+'Nota 19'!B12+'Nota 19'!F12</f>
        <v>13632955918.8722</v>
      </c>
      <c r="E27" s="103"/>
      <c r="F27" s="103" t="s">
        <v>1212</v>
      </c>
      <c r="G27" s="400" t="s">
        <v>838</v>
      </c>
      <c r="H27" s="365">
        <f>+'Nota 13'!E10+'Nota 13'!E11+'Nota 14'!K29+'Nota 14'!K30+'Nota 14'!K31+'Nota 14'!K34+'Nota 14'!K54+'Nota 14'!K69+'Nota 19'!C12+'Nota 19'!G12</f>
        <v>23901054100.060001</v>
      </c>
      <c r="I27" s="148"/>
      <c r="J27" s="103"/>
      <c r="K27" s="399"/>
      <c r="L27" s="402"/>
      <c r="M27" s="49"/>
      <c r="R27" s="402">
        <f>+(D27-H27)/H27</f>
        <v>-0.42960859124460221</v>
      </c>
      <c r="S27" s="2">
        <f>+R27*100</f>
        <v>-42.960859124460221</v>
      </c>
    </row>
    <row r="28" spans="1:19" ht="15" customHeight="1" x14ac:dyDescent="0.25">
      <c r="A28" s="103"/>
      <c r="B28" s="106"/>
      <c r="C28" s="106"/>
      <c r="D28" s="146"/>
      <c r="F28" s="106"/>
      <c r="G28" s="106"/>
      <c r="H28" s="146"/>
      <c r="I28" s="83"/>
      <c r="K28" s="401">
        <f>(D27-H27)/H27</f>
        <v>-0.42960859124460221</v>
      </c>
      <c r="M28" s="49"/>
      <c r="N28" s="543"/>
      <c r="R28" s="411"/>
    </row>
    <row r="29" spans="1:19" ht="15" customHeight="1" x14ac:dyDescent="0.25">
      <c r="A29" s="108" t="s">
        <v>97</v>
      </c>
      <c r="B29" s="108"/>
      <c r="C29" s="108"/>
      <c r="D29" s="211">
        <f>+D25+D27</f>
        <v>63194992219.202202</v>
      </c>
      <c r="F29" s="108"/>
      <c r="G29" s="108"/>
      <c r="H29" s="211">
        <f>+H25+H27</f>
        <v>66812265108.330002</v>
      </c>
      <c r="I29" s="83"/>
      <c r="K29" s="401">
        <f>(D29-H29)/H29</f>
        <v>-5.4140850983913233E-2</v>
      </c>
    </row>
    <row r="30" spans="1:19" ht="15" customHeight="1" x14ac:dyDescent="0.25">
      <c r="A30" s="147"/>
      <c r="B30" s="103"/>
      <c r="C30" s="103"/>
      <c r="D30" s="103"/>
      <c r="E30" s="103"/>
      <c r="F30" s="103"/>
      <c r="G30" s="103"/>
      <c r="H30" s="103"/>
      <c r="I30" s="148"/>
      <c r="J30" s="103"/>
      <c r="K30" s="103">
        <f>+K29*100</f>
        <v>-5.4140850983913236</v>
      </c>
    </row>
    <row r="31" spans="1:19" ht="15" customHeight="1" x14ac:dyDescent="0.25">
      <c r="A31" s="147"/>
      <c r="B31" s="103"/>
      <c r="C31" s="103"/>
      <c r="D31" s="103"/>
      <c r="E31" s="103"/>
      <c r="F31" s="103"/>
      <c r="G31" s="103"/>
      <c r="H31" s="103"/>
      <c r="I31" s="148"/>
      <c r="J31" s="103"/>
      <c r="K31" s="103"/>
    </row>
    <row r="32" spans="1:19" ht="33" customHeight="1" x14ac:dyDescent="0.25">
      <c r="A32" s="631" t="s">
        <v>1248</v>
      </c>
      <c r="B32" s="631"/>
      <c r="C32" s="631"/>
      <c r="D32" s="631"/>
      <c r="E32" s="631"/>
      <c r="F32" s="631"/>
      <c r="G32" s="631"/>
      <c r="H32" s="631"/>
      <c r="I32" s="632"/>
      <c r="J32" s="210"/>
      <c r="K32" s="103"/>
    </row>
    <row r="33" spans="1:11" ht="15" customHeight="1" x14ac:dyDescent="0.2">
      <c r="A33" s="204"/>
      <c r="B33" s="204"/>
      <c r="C33" s="204"/>
      <c r="D33" s="204"/>
      <c r="E33" s="204"/>
      <c r="F33" s="204"/>
      <c r="G33" s="204"/>
      <c r="H33" s="204"/>
      <c r="I33" s="205"/>
      <c r="K33" s="543"/>
    </row>
    <row r="34" spans="1:11" ht="15" customHeight="1" x14ac:dyDescent="0.2">
      <c r="A34" s="616" t="s">
        <v>36</v>
      </c>
      <c r="B34" s="616"/>
      <c r="C34" s="616"/>
      <c r="D34" s="616"/>
      <c r="E34" s="616"/>
      <c r="F34" s="616"/>
      <c r="G34" s="616"/>
      <c r="H34" s="616"/>
      <c r="I34" s="617"/>
      <c r="J34" s="3"/>
      <c r="K34" s="3"/>
    </row>
    <row r="35" spans="1:11" ht="28.5" customHeight="1" x14ac:dyDescent="0.2">
      <c r="A35" s="612" t="s">
        <v>238</v>
      </c>
      <c r="B35" s="612"/>
      <c r="C35" s="612"/>
      <c r="D35" s="612"/>
      <c r="E35" s="612"/>
      <c r="F35" s="612"/>
      <c r="G35" s="612"/>
      <c r="H35" s="612"/>
      <c r="I35" s="613"/>
    </row>
    <row r="36" spans="1:11" ht="15" customHeight="1" x14ac:dyDescent="0.2">
      <c r="A36" s="204"/>
      <c r="B36" s="204"/>
      <c r="C36" s="204"/>
      <c r="D36" s="204"/>
      <c r="E36" s="204"/>
      <c r="F36" s="204"/>
      <c r="G36" s="204"/>
      <c r="H36" s="204"/>
      <c r="I36" s="205"/>
    </row>
    <row r="37" spans="1:11" ht="15" customHeight="1" x14ac:dyDescent="0.2">
      <c r="A37" s="615"/>
      <c r="B37" s="615"/>
      <c r="C37" s="615"/>
      <c r="D37" s="615"/>
      <c r="E37" s="615"/>
      <c r="F37" s="615"/>
      <c r="G37" s="615"/>
      <c r="H37" s="615"/>
      <c r="I37" s="618"/>
    </row>
    <row r="38" spans="1:11" ht="15" customHeight="1" x14ac:dyDescent="0.2">
      <c r="A38" s="634" t="s">
        <v>148</v>
      </c>
      <c r="B38" s="634"/>
      <c r="C38" s="634"/>
      <c r="D38" s="634"/>
      <c r="E38" s="634"/>
      <c r="F38" s="634"/>
      <c r="G38" s="634"/>
      <c r="H38" s="634"/>
      <c r="I38" s="635"/>
      <c r="J38" s="3"/>
      <c r="K38" s="3"/>
    </row>
    <row r="39" spans="1:11" ht="122.25" customHeight="1" x14ac:dyDescent="0.2">
      <c r="A39" s="612" t="s">
        <v>1099</v>
      </c>
      <c r="B39" s="646"/>
      <c r="C39" s="646"/>
      <c r="D39" s="646"/>
      <c r="E39" s="646"/>
      <c r="F39" s="646"/>
      <c r="G39" s="646"/>
      <c r="H39" s="646"/>
      <c r="I39" s="647"/>
      <c r="J39" s="3"/>
      <c r="K39" s="3"/>
    </row>
    <row r="40" spans="1:11" ht="27" customHeight="1" x14ac:dyDescent="0.2">
      <c r="A40" s="629" t="s">
        <v>326</v>
      </c>
      <c r="B40" s="629"/>
      <c r="C40" s="629"/>
      <c r="D40" s="629"/>
      <c r="E40" s="629"/>
      <c r="F40" s="629"/>
      <c r="G40" s="629"/>
      <c r="H40" s="629"/>
      <c r="I40" s="630"/>
      <c r="J40" s="3"/>
      <c r="K40" s="3"/>
    </row>
    <row r="41" spans="1:11" ht="15" customHeight="1" x14ac:dyDescent="0.2">
      <c r="A41" s="615"/>
      <c r="B41" s="615"/>
      <c r="C41" s="615"/>
      <c r="D41" s="615"/>
      <c r="E41" s="615"/>
      <c r="F41" s="615"/>
      <c r="G41" s="615"/>
      <c r="H41" s="615"/>
      <c r="I41" s="618"/>
    </row>
    <row r="42" spans="1:11" ht="15" customHeight="1" x14ac:dyDescent="0.2">
      <c r="A42" s="616" t="s">
        <v>147</v>
      </c>
      <c r="B42" s="616"/>
      <c r="C42" s="616"/>
      <c r="D42" s="616"/>
      <c r="E42" s="616"/>
      <c r="F42" s="616"/>
      <c r="G42" s="616"/>
      <c r="H42" s="616"/>
      <c r="I42" s="617"/>
      <c r="J42" s="3"/>
      <c r="K42" s="3"/>
    </row>
    <row r="43" spans="1:11" ht="43.5" customHeight="1" x14ac:dyDescent="0.2">
      <c r="A43" s="614" t="s">
        <v>239</v>
      </c>
      <c r="B43" s="614"/>
      <c r="C43" s="614"/>
      <c r="D43" s="614"/>
      <c r="E43" s="614"/>
      <c r="F43" s="614"/>
      <c r="G43" s="614"/>
      <c r="H43" s="614"/>
      <c r="I43" s="633"/>
    </row>
    <row r="44" spans="1:11" ht="24.75" customHeight="1" x14ac:dyDescent="0.2">
      <c r="A44" s="167"/>
      <c r="B44" s="167"/>
      <c r="C44" s="167"/>
      <c r="D44" s="167"/>
      <c r="E44" s="167"/>
      <c r="F44" s="167"/>
      <c r="G44" s="167"/>
      <c r="H44" s="167"/>
      <c r="I44" s="582"/>
    </row>
    <row r="45" spans="1:11" ht="15" customHeight="1" x14ac:dyDescent="0.2">
      <c r="A45" s="616" t="s">
        <v>827</v>
      </c>
      <c r="B45" s="616"/>
      <c r="C45" s="616"/>
      <c r="D45" s="616"/>
      <c r="E45" s="616"/>
      <c r="F45" s="616"/>
      <c r="G45" s="616"/>
      <c r="H45" s="616"/>
      <c r="I45" s="617"/>
      <c r="J45" s="3"/>
      <c r="K45" s="3"/>
    </row>
    <row r="46" spans="1:11" ht="40.700000000000003" customHeight="1" x14ac:dyDescent="0.2">
      <c r="A46" s="614" t="s">
        <v>1152</v>
      </c>
      <c r="B46" s="614"/>
      <c r="C46" s="614"/>
      <c r="D46" s="614"/>
      <c r="E46" s="614"/>
      <c r="F46" s="614"/>
      <c r="G46" s="614"/>
      <c r="H46" s="614"/>
      <c r="I46" s="633"/>
      <c r="J46" s="3"/>
      <c r="K46" s="3"/>
    </row>
    <row r="47" spans="1:11" ht="15" customHeight="1" x14ac:dyDescent="0.2">
      <c r="I47" s="83"/>
    </row>
    <row r="48" spans="1:11" ht="15" customHeight="1" x14ac:dyDescent="0.2">
      <c r="A48" s="616" t="s">
        <v>828</v>
      </c>
      <c r="B48" s="616"/>
      <c r="C48" s="616"/>
      <c r="D48" s="616"/>
      <c r="E48" s="616"/>
      <c r="F48" s="616"/>
      <c r="G48" s="616"/>
      <c r="H48" s="616"/>
      <c r="I48" s="617"/>
      <c r="J48" s="3"/>
      <c r="K48" s="3"/>
    </row>
    <row r="49" spans="1:11" ht="27" customHeight="1" x14ac:dyDescent="0.2">
      <c r="A49" s="612" t="s">
        <v>149</v>
      </c>
      <c r="B49" s="612"/>
      <c r="C49" s="612"/>
      <c r="D49" s="612"/>
      <c r="E49" s="612"/>
      <c r="F49" s="612"/>
      <c r="G49" s="612"/>
      <c r="H49" s="612"/>
      <c r="I49" s="613"/>
    </row>
    <row r="50" spans="1:11" ht="15" customHeight="1" x14ac:dyDescent="0.2">
      <c r="A50" s="206"/>
      <c r="B50" s="206"/>
      <c r="C50" s="206"/>
      <c r="D50" s="206"/>
      <c r="E50" s="206"/>
      <c r="F50" s="206"/>
      <c r="G50" s="206"/>
      <c r="H50" s="206"/>
      <c r="I50" s="207"/>
    </row>
    <row r="51" spans="1:11" ht="15" customHeight="1" x14ac:dyDescent="0.2">
      <c r="I51" s="83"/>
    </row>
    <row r="52" spans="1:11" ht="15" customHeight="1" x14ac:dyDescent="0.2">
      <c r="A52" s="616" t="s">
        <v>829</v>
      </c>
      <c r="B52" s="616"/>
      <c r="C52" s="616"/>
      <c r="D52" s="616"/>
      <c r="E52" s="616"/>
      <c r="F52" s="616"/>
      <c r="G52" s="616"/>
      <c r="H52" s="616"/>
      <c r="I52" s="617"/>
      <c r="J52" s="615"/>
      <c r="K52" s="615"/>
    </row>
    <row r="53" spans="1:11" ht="30.2" customHeight="1" x14ac:dyDescent="0.2">
      <c r="A53" s="612" t="s">
        <v>150</v>
      </c>
      <c r="B53" s="612"/>
      <c r="C53" s="612"/>
      <c r="D53" s="612"/>
      <c r="E53" s="612"/>
      <c r="F53" s="612"/>
      <c r="G53" s="612"/>
      <c r="H53" s="612"/>
      <c r="I53" s="613"/>
      <c r="J53" s="615"/>
      <c r="K53" s="615"/>
    </row>
    <row r="54" spans="1:11" ht="15" customHeight="1" x14ac:dyDescent="0.2">
      <c r="A54" s="615"/>
      <c r="B54" s="615"/>
      <c r="C54" s="615"/>
      <c r="D54" s="615"/>
      <c r="E54" s="615"/>
      <c r="F54" s="615"/>
      <c r="G54" s="615"/>
      <c r="H54" s="615"/>
      <c r="I54" s="618"/>
      <c r="J54" s="615"/>
      <c r="K54" s="615"/>
    </row>
    <row r="55" spans="1:11" ht="15" customHeight="1" x14ac:dyDescent="0.2">
      <c r="A55" s="616" t="s">
        <v>830</v>
      </c>
      <c r="B55" s="616"/>
      <c r="C55" s="616"/>
      <c r="D55" s="616"/>
      <c r="E55" s="616"/>
      <c r="F55" s="616"/>
      <c r="G55" s="616"/>
      <c r="H55" s="616"/>
      <c r="I55" s="617"/>
      <c r="J55" s="615"/>
      <c r="K55" s="615"/>
    </row>
    <row r="56" spans="1:11" ht="22.7" customHeight="1" x14ac:dyDescent="0.2">
      <c r="A56" s="612" t="s">
        <v>1058</v>
      </c>
      <c r="B56" s="612"/>
      <c r="C56" s="612"/>
      <c r="D56" s="612"/>
      <c r="E56" s="612"/>
      <c r="F56" s="612"/>
      <c r="G56" s="612"/>
      <c r="H56" s="612"/>
      <c r="I56" s="613"/>
      <c r="J56" s="615"/>
      <c r="K56" s="615"/>
    </row>
    <row r="57" spans="1:11" x14ac:dyDescent="0.2">
      <c r="A57" s="204"/>
      <c r="B57" s="204"/>
      <c r="C57" s="204"/>
      <c r="D57" s="204"/>
      <c r="E57" s="204"/>
      <c r="F57" s="204"/>
      <c r="G57" s="204"/>
      <c r="H57" s="204"/>
      <c r="I57" s="205"/>
      <c r="J57" s="615"/>
      <c r="K57" s="615"/>
    </row>
    <row r="58" spans="1:11" ht="22.9" customHeight="1" x14ac:dyDescent="0.2">
      <c r="A58" s="612" t="s">
        <v>1059</v>
      </c>
      <c r="B58" s="612"/>
      <c r="C58" s="612"/>
      <c r="D58" s="612"/>
      <c r="E58" s="612"/>
      <c r="F58" s="612"/>
      <c r="G58" s="612"/>
      <c r="H58" s="612"/>
      <c r="I58" s="613"/>
      <c r="J58" s="144"/>
      <c r="K58" s="144"/>
    </row>
    <row r="59" spans="1:11" x14ac:dyDescent="0.2">
      <c r="I59" s="83"/>
      <c r="J59" s="144"/>
      <c r="K59" s="144"/>
    </row>
    <row r="60" spans="1:11" ht="26.45" customHeight="1" x14ac:dyDescent="0.2">
      <c r="A60" s="612" t="s">
        <v>1060</v>
      </c>
      <c r="B60" s="612"/>
      <c r="C60" s="612"/>
      <c r="D60" s="612"/>
      <c r="E60" s="612"/>
      <c r="F60" s="612"/>
      <c r="G60" s="612"/>
      <c r="H60" s="612"/>
      <c r="I60" s="613"/>
      <c r="J60" s="144"/>
      <c r="K60" s="144"/>
    </row>
    <row r="61" spans="1:11" x14ac:dyDescent="0.2">
      <c r="A61" s="204"/>
      <c r="B61" s="204"/>
      <c r="C61" s="204"/>
      <c r="D61" s="204"/>
      <c r="E61" s="204"/>
      <c r="F61" s="204"/>
      <c r="G61" s="204"/>
      <c r="H61" s="204"/>
      <c r="I61" s="205"/>
      <c r="J61" s="144"/>
      <c r="K61" s="144"/>
    </row>
    <row r="62" spans="1:11" x14ac:dyDescent="0.2">
      <c r="A62" s="612" t="s">
        <v>1061</v>
      </c>
      <c r="B62" s="612"/>
      <c r="C62" s="612"/>
      <c r="D62" s="612"/>
      <c r="E62" s="612"/>
      <c r="F62" s="612"/>
      <c r="G62" s="612"/>
      <c r="H62" s="612"/>
      <c r="I62" s="613"/>
      <c r="J62" s="144"/>
      <c r="K62" s="144"/>
    </row>
    <row r="63" spans="1:11" ht="15" customHeight="1" x14ac:dyDescent="0.2">
      <c r="A63" s="615"/>
      <c r="B63" s="615"/>
      <c r="C63" s="615"/>
      <c r="D63" s="615"/>
      <c r="E63" s="615"/>
      <c r="F63" s="615"/>
      <c r="G63" s="615"/>
      <c r="H63" s="615"/>
      <c r="I63" s="618"/>
      <c r="J63" s="615"/>
      <c r="K63" s="615"/>
    </row>
    <row r="64" spans="1:11" ht="15" customHeight="1" x14ac:dyDescent="0.2">
      <c r="A64" s="616" t="s">
        <v>831</v>
      </c>
      <c r="B64" s="616"/>
      <c r="C64" s="616"/>
      <c r="D64" s="616"/>
      <c r="E64" s="616"/>
      <c r="F64" s="616"/>
      <c r="G64" s="616"/>
      <c r="H64" s="616"/>
      <c r="I64" s="617"/>
      <c r="J64" s="615"/>
      <c r="K64" s="615"/>
    </row>
    <row r="65" spans="1:11" s="50" customFormat="1" ht="15" customHeight="1" x14ac:dyDescent="0.2">
      <c r="A65" s="612" t="s">
        <v>151</v>
      </c>
      <c r="B65" s="612"/>
      <c r="C65" s="612"/>
      <c r="D65" s="612"/>
      <c r="E65" s="612"/>
      <c r="F65" s="612"/>
      <c r="G65" s="612"/>
      <c r="H65" s="612"/>
      <c r="I65" s="613"/>
      <c r="J65" s="614"/>
      <c r="K65" s="614"/>
    </row>
    <row r="66" spans="1:11" s="50" customFormat="1" ht="15" customHeight="1" x14ac:dyDescent="0.2">
      <c r="A66" s="612" t="s">
        <v>1062</v>
      </c>
      <c r="B66" s="612"/>
      <c r="C66" s="612"/>
      <c r="D66" s="612"/>
      <c r="E66" s="612"/>
      <c r="F66" s="612"/>
      <c r="G66" s="612"/>
      <c r="H66" s="612"/>
      <c r="I66" s="613"/>
      <c r="J66" s="614"/>
      <c r="K66" s="614"/>
    </row>
    <row r="67" spans="1:11" s="50" customFormat="1" ht="12" x14ac:dyDescent="0.2">
      <c r="A67" s="612" t="s">
        <v>1063</v>
      </c>
      <c r="B67" s="612"/>
      <c r="C67" s="612"/>
      <c r="D67" s="612"/>
      <c r="E67" s="612"/>
      <c r="F67" s="612"/>
      <c r="G67" s="612"/>
      <c r="H67" s="612"/>
      <c r="I67" s="613"/>
      <c r="J67" s="614"/>
      <c r="K67" s="614"/>
    </row>
    <row r="68" spans="1:11" ht="15" customHeight="1" x14ac:dyDescent="0.2">
      <c r="A68" s="615"/>
      <c r="B68" s="615"/>
      <c r="C68" s="615"/>
      <c r="D68" s="615"/>
      <c r="E68" s="615"/>
      <c r="F68" s="615"/>
      <c r="G68" s="615"/>
      <c r="H68" s="615"/>
      <c r="I68" s="618"/>
      <c r="J68" s="615"/>
      <c r="K68" s="615"/>
    </row>
    <row r="69" spans="1:11" ht="15" customHeight="1" x14ac:dyDescent="0.2">
      <c r="A69" s="616" t="s">
        <v>832</v>
      </c>
      <c r="B69" s="616"/>
      <c r="C69" s="616"/>
      <c r="D69" s="616"/>
      <c r="E69" s="616"/>
      <c r="F69" s="616"/>
      <c r="G69" s="616"/>
      <c r="H69" s="616"/>
      <c r="I69" s="617"/>
      <c r="J69" s="615"/>
      <c r="K69" s="615"/>
    </row>
    <row r="70" spans="1:11" s="50" customFormat="1" ht="25.5" customHeight="1" x14ac:dyDescent="0.2">
      <c r="A70" s="612" t="s">
        <v>152</v>
      </c>
      <c r="B70" s="612"/>
      <c r="C70" s="612"/>
      <c r="D70" s="612"/>
      <c r="E70" s="612"/>
      <c r="F70" s="612"/>
      <c r="G70" s="612"/>
      <c r="H70" s="612"/>
      <c r="I70" s="613"/>
      <c r="J70" s="167"/>
      <c r="K70" s="167"/>
    </row>
    <row r="71" spans="1:11" s="50" customFormat="1" ht="24.75" customHeight="1" x14ac:dyDescent="0.2">
      <c r="A71" s="612" t="s">
        <v>153</v>
      </c>
      <c r="B71" s="612"/>
      <c r="C71" s="612"/>
      <c r="D71" s="612"/>
      <c r="E71" s="612"/>
      <c r="F71" s="612"/>
      <c r="G71" s="612"/>
      <c r="H71" s="612"/>
      <c r="I71" s="613"/>
      <c r="J71" s="167"/>
      <c r="K71" s="167"/>
    </row>
    <row r="72" spans="1:11" s="50" customFormat="1" ht="34.5" customHeight="1" x14ac:dyDescent="0.2">
      <c r="A72" s="612" t="s">
        <v>154</v>
      </c>
      <c r="B72" s="612"/>
      <c r="C72" s="612"/>
      <c r="D72" s="612"/>
      <c r="E72" s="612"/>
      <c r="F72" s="612"/>
      <c r="G72" s="612"/>
      <c r="H72" s="612"/>
      <c r="I72" s="613"/>
      <c r="J72" s="167"/>
      <c r="K72" s="167"/>
    </row>
    <row r="73" spans="1:11" ht="15" customHeight="1" x14ac:dyDescent="0.2">
      <c r="I73" s="83"/>
      <c r="J73" s="144"/>
      <c r="K73" s="144"/>
    </row>
    <row r="74" spans="1:11" s="28" customFormat="1" ht="15" customHeight="1" x14ac:dyDescent="0.2">
      <c r="A74" s="583"/>
      <c r="B74" s="583"/>
      <c r="C74" s="583"/>
      <c r="D74" s="583"/>
      <c r="E74" s="583"/>
      <c r="F74" s="583"/>
      <c r="G74" s="583"/>
      <c r="H74" s="583"/>
      <c r="I74" s="584"/>
      <c r="J74" s="145"/>
      <c r="K74" s="145"/>
    </row>
    <row r="75" spans="1:11" s="28" customFormat="1" ht="15" customHeight="1" x14ac:dyDescent="0.2">
      <c r="A75" s="616" t="s">
        <v>833</v>
      </c>
      <c r="B75" s="616"/>
      <c r="C75" s="616"/>
      <c r="D75" s="616"/>
      <c r="E75" s="616"/>
      <c r="F75" s="616"/>
      <c r="G75" s="616"/>
      <c r="H75" s="616"/>
      <c r="I75" s="617"/>
      <c r="J75" s="145"/>
      <c r="K75" s="145"/>
    </row>
    <row r="76" spans="1:11" s="28" customFormat="1" ht="15" customHeight="1" x14ac:dyDescent="0.2">
      <c r="A76" s="612" t="s">
        <v>155</v>
      </c>
      <c r="B76" s="612"/>
      <c r="C76" s="612"/>
      <c r="D76" s="612"/>
      <c r="E76" s="612"/>
      <c r="F76" s="612"/>
      <c r="G76" s="612"/>
      <c r="H76" s="612"/>
      <c r="I76" s="613"/>
      <c r="J76" s="145"/>
      <c r="K76" s="145"/>
    </row>
    <row r="77" spans="1:11" ht="15" customHeight="1" x14ac:dyDescent="0.2">
      <c r="I77" s="83"/>
      <c r="J77" s="615"/>
      <c r="K77" s="615"/>
    </row>
    <row r="78" spans="1:11" ht="15" customHeight="1" x14ac:dyDescent="0.2">
      <c r="A78" s="206"/>
      <c r="B78" s="206"/>
      <c r="C78" s="206"/>
      <c r="D78" s="206"/>
      <c r="E78" s="206"/>
      <c r="F78" s="206"/>
      <c r="G78" s="206"/>
      <c r="H78" s="206"/>
      <c r="I78" s="207"/>
      <c r="J78" s="144"/>
      <c r="K78" s="144"/>
    </row>
    <row r="79" spans="1:11" ht="15" customHeight="1" x14ac:dyDescent="0.2">
      <c r="A79" s="616" t="s">
        <v>834</v>
      </c>
      <c r="B79" s="616"/>
      <c r="C79" s="616"/>
      <c r="D79" s="616"/>
      <c r="E79" s="616"/>
      <c r="F79" s="616"/>
      <c r="G79" s="616"/>
      <c r="H79" s="616"/>
      <c r="I79" s="617"/>
      <c r="J79" s="615"/>
      <c r="K79" s="615"/>
    </row>
    <row r="80" spans="1:11" ht="36.75" customHeight="1" x14ac:dyDescent="0.2">
      <c r="A80" s="612" t="s">
        <v>156</v>
      </c>
      <c r="B80" s="612"/>
      <c r="C80" s="612"/>
      <c r="D80" s="612"/>
      <c r="E80" s="612"/>
      <c r="F80" s="612"/>
      <c r="G80" s="612"/>
      <c r="H80" s="612"/>
      <c r="I80" s="613"/>
      <c r="J80" s="144"/>
      <c r="K80" s="144"/>
    </row>
    <row r="81" spans="1:11" ht="15" customHeight="1" x14ac:dyDescent="0.2">
      <c r="A81" s="204"/>
      <c r="B81" s="204"/>
      <c r="C81" s="204"/>
      <c r="D81" s="204"/>
      <c r="E81" s="204"/>
      <c r="F81" s="204"/>
      <c r="G81" s="204"/>
      <c r="H81" s="204"/>
      <c r="I81" s="205"/>
      <c r="J81" s="144"/>
      <c r="K81" s="144"/>
    </row>
    <row r="82" spans="1:11" ht="15" customHeight="1" x14ac:dyDescent="0.2">
      <c r="A82" s="623" t="s">
        <v>835</v>
      </c>
      <c r="B82" s="623"/>
      <c r="C82" s="623"/>
      <c r="D82" s="623"/>
      <c r="E82" s="623"/>
      <c r="F82" s="623"/>
      <c r="G82" s="623"/>
      <c r="H82" s="623"/>
      <c r="I82" s="624"/>
      <c r="J82" s="16"/>
      <c r="K82" s="16"/>
    </row>
    <row r="83" spans="1:11" ht="15" customHeight="1" x14ac:dyDescent="0.2">
      <c r="A83" s="214" t="s">
        <v>162</v>
      </c>
      <c r="B83" s="212"/>
      <c r="C83" s="212"/>
      <c r="D83" s="212"/>
      <c r="E83" s="212"/>
      <c r="F83" s="212"/>
      <c r="G83" s="212"/>
      <c r="H83" s="212"/>
      <c r="I83" s="213"/>
      <c r="J83" s="212"/>
      <c r="K83" s="212"/>
    </row>
    <row r="84" spans="1:11" ht="15" customHeight="1" x14ac:dyDescent="0.2">
      <c r="A84" s="206"/>
      <c r="B84" s="206"/>
      <c r="C84" s="206"/>
      <c r="D84" s="206"/>
      <c r="E84" s="206"/>
      <c r="F84" s="206"/>
      <c r="G84" s="206"/>
      <c r="H84" s="206"/>
      <c r="I84" s="207"/>
      <c r="J84" s="144"/>
      <c r="K84" s="144"/>
    </row>
    <row r="85" spans="1:11" ht="15" customHeight="1" x14ac:dyDescent="0.2">
      <c r="A85" s="616" t="s">
        <v>836</v>
      </c>
      <c r="B85" s="616"/>
      <c r="C85" s="616"/>
      <c r="D85" s="616"/>
      <c r="E85" s="616"/>
      <c r="F85" s="616"/>
      <c r="G85" s="616"/>
      <c r="H85" s="616"/>
      <c r="I85" s="617"/>
      <c r="J85" s="144"/>
      <c r="K85" s="144"/>
    </row>
    <row r="86" spans="1:11" s="50" customFormat="1" ht="36" customHeight="1" x14ac:dyDescent="0.2">
      <c r="A86" s="612" t="s">
        <v>157</v>
      </c>
      <c r="B86" s="612"/>
      <c r="C86" s="612"/>
      <c r="D86" s="612"/>
      <c r="E86" s="612"/>
      <c r="F86" s="612"/>
      <c r="G86" s="612"/>
      <c r="H86" s="612"/>
      <c r="I86" s="613"/>
      <c r="J86" s="167"/>
      <c r="K86" s="167"/>
    </row>
    <row r="87" spans="1:11" s="50" customFormat="1" ht="23.25" customHeight="1" x14ac:dyDescent="0.2">
      <c r="A87" s="612" t="s">
        <v>158</v>
      </c>
      <c r="B87" s="612"/>
      <c r="C87" s="612"/>
      <c r="D87" s="612"/>
      <c r="E87" s="612"/>
      <c r="F87" s="612"/>
      <c r="G87" s="612"/>
      <c r="H87" s="612"/>
      <c r="I87" s="613"/>
      <c r="J87" s="167"/>
      <c r="K87" s="167"/>
    </row>
    <row r="88" spans="1:11" ht="15" customHeight="1" x14ac:dyDescent="0.2">
      <c r="I88" s="83"/>
      <c r="J88" s="144"/>
      <c r="K88" s="144"/>
    </row>
    <row r="89" spans="1:11" ht="15" customHeight="1" x14ac:dyDescent="0.2">
      <c r="A89" s="616" t="s">
        <v>837</v>
      </c>
      <c r="B89" s="616"/>
      <c r="C89" s="616"/>
      <c r="D89" s="616"/>
      <c r="E89" s="616"/>
      <c r="F89" s="616"/>
      <c r="G89" s="616"/>
      <c r="H89" s="616"/>
      <c r="I89" s="617"/>
      <c r="J89" s="144"/>
      <c r="K89" s="144"/>
    </row>
    <row r="90" spans="1:11" ht="25.5" customHeight="1" x14ac:dyDescent="0.2">
      <c r="A90" s="612" t="s">
        <v>159</v>
      </c>
      <c r="B90" s="612"/>
      <c r="C90" s="612"/>
      <c r="D90" s="612"/>
      <c r="E90" s="612"/>
      <c r="F90" s="612"/>
      <c r="G90" s="612"/>
      <c r="H90" s="612"/>
      <c r="I90" s="613"/>
      <c r="J90" s="144"/>
      <c r="K90" s="144"/>
    </row>
    <row r="91" spans="1:11" ht="58.15" customHeight="1" x14ac:dyDescent="0.2">
      <c r="A91" s="625" t="s">
        <v>353</v>
      </c>
      <c r="B91" s="625"/>
      <c r="C91" s="625"/>
      <c r="D91" s="625"/>
      <c r="E91" s="625"/>
      <c r="F91" s="625"/>
      <c r="G91" s="625"/>
      <c r="H91" s="625"/>
      <c r="I91" s="626"/>
      <c r="J91" s="144"/>
      <c r="K91" s="144"/>
    </row>
    <row r="92" spans="1:11" s="28" customFormat="1" ht="15" customHeight="1" x14ac:dyDescent="0.2">
      <c r="A92" s="620"/>
      <c r="B92" s="621"/>
      <c r="C92" s="621"/>
      <c r="D92" s="621"/>
      <c r="E92" s="621"/>
      <c r="F92" s="621"/>
      <c r="G92" s="621"/>
      <c r="H92" s="621"/>
      <c r="I92" s="622"/>
    </row>
    <row r="93" spans="1:11" ht="15" customHeight="1" x14ac:dyDescent="0.2"/>
    <row r="94" spans="1:11" ht="15" customHeight="1" x14ac:dyDescent="0.2"/>
    <row r="95" spans="1:11" ht="15" customHeight="1" x14ac:dyDescent="0.2">
      <c r="A95" s="215"/>
    </row>
    <row r="96" spans="1:11" ht="15" customHeight="1" x14ac:dyDescent="0.2"/>
    <row r="97" spans="6:14" ht="15" customHeight="1" x14ac:dyDescent="0.2"/>
    <row r="98" spans="6:14" ht="15" customHeight="1" x14ac:dyDescent="0.2"/>
    <row r="99" spans="6:14" ht="15" customHeight="1" x14ac:dyDescent="0.2"/>
    <row r="100" spans="6:14" ht="15" customHeight="1" x14ac:dyDescent="0.2"/>
    <row r="101" spans="6:14" ht="15" customHeight="1" x14ac:dyDescent="0.2"/>
    <row r="102" spans="6:14" ht="15" customHeight="1" x14ac:dyDescent="0.2"/>
    <row r="103" spans="6:14" ht="15" customHeight="1" x14ac:dyDescent="0.2"/>
    <row r="104" spans="6:14" ht="15" customHeight="1" x14ac:dyDescent="0.2"/>
    <row r="105" spans="6:14" ht="15" customHeight="1" x14ac:dyDescent="0.2"/>
    <row r="109" spans="6:14" x14ac:dyDescent="0.2">
      <c r="F109" s="619"/>
      <c r="G109" s="619"/>
      <c r="H109" s="619"/>
      <c r="I109" s="619"/>
      <c r="J109" s="619"/>
      <c r="K109" s="619"/>
      <c r="L109" s="619"/>
      <c r="M109" s="619"/>
      <c r="N109" s="619"/>
    </row>
  </sheetData>
  <mergeCells count="72">
    <mergeCell ref="A6:I6"/>
    <mergeCell ref="A42:I42"/>
    <mergeCell ref="A45:I45"/>
    <mergeCell ref="A48:I48"/>
    <mergeCell ref="A46:I46"/>
    <mergeCell ref="A16:I16"/>
    <mergeCell ref="A7:I7"/>
    <mergeCell ref="A15:I15"/>
    <mergeCell ref="A11:I11"/>
    <mergeCell ref="A12:I12"/>
    <mergeCell ref="A35:I35"/>
    <mergeCell ref="A39:I39"/>
    <mergeCell ref="A10:I10"/>
    <mergeCell ref="A14:I14"/>
    <mergeCell ref="A20:I20"/>
    <mergeCell ref="A19:I19"/>
    <mergeCell ref="A34:I34"/>
    <mergeCell ref="A17:I17"/>
    <mergeCell ref="A18:I18"/>
    <mergeCell ref="A90:I90"/>
    <mergeCell ref="A40:I40"/>
    <mergeCell ref="A32:I32"/>
    <mergeCell ref="A43:I43"/>
    <mergeCell ref="A49:I49"/>
    <mergeCell ref="A55:I55"/>
    <mergeCell ref="A52:I52"/>
    <mergeCell ref="A53:I53"/>
    <mergeCell ref="A41:I41"/>
    <mergeCell ref="A37:I37"/>
    <mergeCell ref="A38:I38"/>
    <mergeCell ref="A63:I63"/>
    <mergeCell ref="A80:I80"/>
    <mergeCell ref="F109:N109"/>
    <mergeCell ref="J77:K77"/>
    <mergeCell ref="J79:K79"/>
    <mergeCell ref="A72:I72"/>
    <mergeCell ref="J68:K68"/>
    <mergeCell ref="A71:I71"/>
    <mergeCell ref="A92:I92"/>
    <mergeCell ref="A85:I85"/>
    <mergeCell ref="A86:I86"/>
    <mergeCell ref="A70:I70"/>
    <mergeCell ref="A82:I82"/>
    <mergeCell ref="A76:I76"/>
    <mergeCell ref="A91:I91"/>
    <mergeCell ref="A89:I89"/>
    <mergeCell ref="A87:I87"/>
    <mergeCell ref="A75:I75"/>
    <mergeCell ref="A67:I67"/>
    <mergeCell ref="A65:I65"/>
    <mergeCell ref="A66:I66"/>
    <mergeCell ref="A68:I68"/>
    <mergeCell ref="A79:I79"/>
    <mergeCell ref="A69:I69"/>
    <mergeCell ref="J69:K69"/>
    <mergeCell ref="J63:K63"/>
    <mergeCell ref="J64:K64"/>
    <mergeCell ref="J55:K55"/>
    <mergeCell ref="J56:K56"/>
    <mergeCell ref="J57:K57"/>
    <mergeCell ref="J65:K65"/>
    <mergeCell ref="J67:K67"/>
    <mergeCell ref="A58:I58"/>
    <mergeCell ref="A60:I60"/>
    <mergeCell ref="J66:K66"/>
    <mergeCell ref="J52:K52"/>
    <mergeCell ref="J53:K53"/>
    <mergeCell ref="J54:K54"/>
    <mergeCell ref="A64:I64"/>
    <mergeCell ref="A56:I56"/>
    <mergeCell ref="A62:I62"/>
    <mergeCell ref="A54:I54"/>
  </mergeCells>
  <hyperlinks>
    <hyperlink ref="I1" location="BG!A1" display="BG" xr:uid="{00000000-0004-0000-0600-000000000000}"/>
  </hyperlinks>
  <printOptions horizontalCentered="1"/>
  <pageMargins left="0.70866141732283472" right="0.70866141732283472" top="0.74803149606299213" bottom="0.74803149606299213" header="0.31496062992125984" footer="0.31496062992125984"/>
  <pageSetup paperSize="9" scale="6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tabColor rgb="FFFFFF00"/>
  </sheetPr>
  <dimension ref="A1:E58"/>
  <sheetViews>
    <sheetView showGridLines="0" topLeftCell="A46" zoomScaleNormal="100" zoomScaleSheetLayoutView="100" workbookViewId="0"/>
  </sheetViews>
  <sheetFormatPr baseColWidth="10" defaultColWidth="11.42578125" defaultRowHeight="12.75" x14ac:dyDescent="0.2"/>
  <cols>
    <col min="1" max="1" width="45.42578125" style="2" customWidth="1"/>
    <col min="2" max="2" width="5.85546875" style="2" customWidth="1"/>
    <col min="3" max="3" width="22.85546875" style="2" customWidth="1"/>
    <col min="4" max="4" width="16.5703125" style="2" customWidth="1"/>
    <col min="5" max="5" width="3.7109375" style="2" bestFit="1" customWidth="1"/>
    <col min="6" max="6" width="12.7109375" style="2" bestFit="1" customWidth="1"/>
    <col min="7" max="7" width="33.7109375" style="2" customWidth="1"/>
    <col min="8" max="8" width="16.28515625" style="2" customWidth="1"/>
    <col min="9" max="16384" width="11.42578125" style="2"/>
  </cols>
  <sheetData>
    <row r="1" spans="1:5" ht="15" x14ac:dyDescent="0.25">
      <c r="A1" s="2" t="str">
        <f>Indice!C1</f>
        <v>SALLUSTRO Y CIA. S.A.</v>
      </c>
      <c r="E1" s="121" t="s">
        <v>117</v>
      </c>
    </row>
    <row r="2" spans="1:5" x14ac:dyDescent="0.2">
      <c r="A2" s="649" t="s">
        <v>1249</v>
      </c>
      <c r="B2" s="649"/>
      <c r="C2" s="649"/>
      <c r="D2" s="649"/>
      <c r="E2" s="649"/>
    </row>
    <row r="3" spans="1:5" x14ac:dyDescent="0.2">
      <c r="A3" s="649" t="s">
        <v>839</v>
      </c>
      <c r="B3" s="649"/>
      <c r="C3" s="649"/>
      <c r="D3" s="649"/>
      <c r="E3" s="649"/>
    </row>
    <row r="4" spans="1:5" ht="13.5" thickBot="1" x14ac:dyDescent="0.25">
      <c r="A4" s="650" t="s">
        <v>840</v>
      </c>
      <c r="B4" s="650"/>
      <c r="C4" s="650"/>
      <c r="D4" s="352"/>
      <c r="E4" s="352"/>
    </row>
    <row r="5" spans="1:5" x14ac:dyDescent="0.2">
      <c r="A5" s="216" t="s">
        <v>379</v>
      </c>
      <c r="B5" s="216"/>
      <c r="C5" s="216"/>
      <c r="D5" s="216"/>
    </row>
    <row r="6" spans="1:5" x14ac:dyDescent="0.2">
      <c r="A6" s="198" t="s">
        <v>258</v>
      </c>
      <c r="B6" s="304"/>
    </row>
    <row r="7" spans="1:5" x14ac:dyDescent="0.2">
      <c r="A7" s="4" t="s">
        <v>3</v>
      </c>
    </row>
    <row r="8" spans="1:5" x14ac:dyDescent="0.2">
      <c r="A8" s="4"/>
    </row>
    <row r="9" spans="1:5" x14ac:dyDescent="0.2">
      <c r="A9" s="36" t="s">
        <v>4</v>
      </c>
      <c r="B9" s="37"/>
      <c r="C9" s="414">
        <f>IFERROR(IF(Indice!B6="","2XX2",YEAR(Indice!B6)),"2XX2")</f>
        <v>2024</v>
      </c>
      <c r="D9" s="414">
        <f>IFERROR(YEAR(Indice!B6-366),"2XX1")</f>
        <v>2023</v>
      </c>
    </row>
    <row r="10" spans="1:5" x14ac:dyDescent="0.2">
      <c r="A10" s="10" t="s">
        <v>841</v>
      </c>
      <c r="B10" s="38"/>
      <c r="C10" s="39">
        <v>465305103.98000002</v>
      </c>
      <c r="D10" s="39">
        <v>578810261.75</v>
      </c>
    </row>
    <row r="11" spans="1:5" x14ac:dyDescent="0.2">
      <c r="A11" s="10" t="s">
        <v>842</v>
      </c>
      <c r="B11" s="38"/>
      <c r="C11" s="39">
        <v>292943500</v>
      </c>
      <c r="D11" s="39">
        <v>260348865.56999999</v>
      </c>
    </row>
    <row r="12" spans="1:5" x14ac:dyDescent="0.2">
      <c r="A12" s="40" t="s">
        <v>378</v>
      </c>
      <c r="B12" s="38"/>
      <c r="C12" s="39"/>
      <c r="D12" s="39"/>
    </row>
    <row r="13" spans="1:5" x14ac:dyDescent="0.2">
      <c r="A13" s="38" t="s">
        <v>1100</v>
      </c>
      <c r="B13" s="38"/>
      <c r="C13" s="39">
        <v>453109105.63</v>
      </c>
      <c r="D13" s="39">
        <v>0</v>
      </c>
    </row>
    <row r="14" spans="1:5" x14ac:dyDescent="0.2">
      <c r="A14" s="38" t="s">
        <v>856</v>
      </c>
      <c r="B14" s="38"/>
      <c r="C14" s="39">
        <v>296745148</v>
      </c>
      <c r="D14" s="39">
        <v>55464304.649999999</v>
      </c>
    </row>
    <row r="15" spans="1:5" x14ac:dyDescent="0.2">
      <c r="A15" s="38" t="s">
        <v>1226</v>
      </c>
      <c r="B15" s="38"/>
      <c r="C15" s="39">
        <v>176011504</v>
      </c>
      <c r="D15" s="39">
        <v>606389129.51999998</v>
      </c>
    </row>
    <row r="16" spans="1:5" x14ac:dyDescent="0.2">
      <c r="A16" s="38" t="s">
        <v>1101</v>
      </c>
      <c r="B16" s="38"/>
      <c r="C16" s="39">
        <v>40654738</v>
      </c>
      <c r="D16" s="39">
        <v>62048168</v>
      </c>
    </row>
    <row r="17" spans="1:4" x14ac:dyDescent="0.2">
      <c r="A17" s="38" t="s">
        <v>1102</v>
      </c>
      <c r="B17" s="38"/>
      <c r="C17" s="39">
        <v>117988734</v>
      </c>
      <c r="D17" s="39">
        <v>0</v>
      </c>
    </row>
    <row r="18" spans="1:4" x14ac:dyDescent="0.2">
      <c r="A18" s="38" t="s">
        <v>1103</v>
      </c>
      <c r="B18" s="38"/>
      <c r="C18" s="39">
        <v>132152987</v>
      </c>
      <c r="D18" s="39">
        <v>741231579.94000006</v>
      </c>
    </row>
    <row r="19" spans="1:4" x14ac:dyDescent="0.2">
      <c r="A19" s="38" t="s">
        <v>1104</v>
      </c>
      <c r="B19" s="38"/>
      <c r="C19" s="39">
        <v>282297482</v>
      </c>
      <c r="D19" s="39">
        <v>81467635</v>
      </c>
    </row>
    <row r="20" spans="1:4" x14ac:dyDescent="0.2">
      <c r="A20" s="38" t="s">
        <v>1105</v>
      </c>
      <c r="B20" s="38"/>
      <c r="C20" s="39">
        <v>0</v>
      </c>
      <c r="D20" s="39">
        <v>231813348</v>
      </c>
    </row>
    <row r="21" spans="1:4" x14ac:dyDescent="0.2">
      <c r="A21" s="38" t="s">
        <v>1114</v>
      </c>
      <c r="B21" s="38"/>
      <c r="C21" s="39">
        <v>20532699</v>
      </c>
      <c r="D21" s="39">
        <v>25937344</v>
      </c>
    </row>
    <row r="22" spans="1:4" x14ac:dyDescent="0.2">
      <c r="A22" s="38" t="s">
        <v>1106</v>
      </c>
      <c r="B22" s="38"/>
      <c r="C22" s="39">
        <v>113735704</v>
      </c>
      <c r="D22" s="39">
        <v>53541721</v>
      </c>
    </row>
    <row r="23" spans="1:4" x14ac:dyDescent="0.2">
      <c r="A23" s="38" t="s">
        <v>1107</v>
      </c>
      <c r="B23" s="38"/>
      <c r="C23" s="39">
        <v>35519944</v>
      </c>
      <c r="D23" s="39">
        <v>81856665</v>
      </c>
    </row>
    <row r="24" spans="1:4" x14ac:dyDescent="0.2">
      <c r="A24" s="38" t="s">
        <v>1108</v>
      </c>
      <c r="B24" s="38"/>
      <c r="C24" s="39">
        <v>209862410</v>
      </c>
      <c r="D24" s="39">
        <v>426268910</v>
      </c>
    </row>
    <row r="25" spans="1:4" x14ac:dyDescent="0.2">
      <c r="A25" s="38" t="s">
        <v>1109</v>
      </c>
      <c r="B25" s="38"/>
      <c r="C25" s="39">
        <v>21973948</v>
      </c>
      <c r="D25" s="39">
        <v>14934000</v>
      </c>
    </row>
    <row r="26" spans="1:4" x14ac:dyDescent="0.2">
      <c r="A26" s="38" t="s">
        <v>1110</v>
      </c>
      <c r="B26" s="38"/>
      <c r="C26" s="39">
        <v>2678302</v>
      </c>
      <c r="D26" s="39">
        <v>77686989</v>
      </c>
    </row>
    <row r="27" spans="1:4" x14ac:dyDescent="0.2">
      <c r="A27" s="38" t="s">
        <v>1111</v>
      </c>
      <c r="B27" s="38"/>
      <c r="C27" s="39">
        <v>19932530</v>
      </c>
      <c r="D27" s="39">
        <v>2015712477</v>
      </c>
    </row>
    <row r="28" spans="1:4" x14ac:dyDescent="0.2">
      <c r="A28" s="38" t="s">
        <v>1112</v>
      </c>
      <c r="B28" s="38"/>
      <c r="C28" s="39">
        <v>97348478</v>
      </c>
      <c r="D28" s="39">
        <v>30546805</v>
      </c>
    </row>
    <row r="29" spans="1:4" x14ac:dyDescent="0.2">
      <c r="A29" s="38" t="s">
        <v>1113</v>
      </c>
      <c r="B29" s="38"/>
      <c r="C29" s="39">
        <v>4319258</v>
      </c>
      <c r="D29" s="39">
        <v>0</v>
      </c>
    </row>
    <row r="30" spans="1:4" x14ac:dyDescent="0.2">
      <c r="A30" s="38" t="s">
        <v>1225</v>
      </c>
      <c r="B30" s="38"/>
      <c r="C30" s="39">
        <v>227397624</v>
      </c>
      <c r="D30" s="39">
        <v>39440197</v>
      </c>
    </row>
    <row r="31" spans="1:4" x14ac:dyDescent="0.2">
      <c r="A31" s="38" t="s">
        <v>1115</v>
      </c>
      <c r="B31" s="38"/>
      <c r="C31" s="39">
        <v>103430895</v>
      </c>
      <c r="D31" s="39">
        <v>710702251</v>
      </c>
    </row>
    <row r="32" spans="1:4" x14ac:dyDescent="0.2">
      <c r="A32" s="38" t="s">
        <v>1116</v>
      </c>
      <c r="B32" s="38"/>
      <c r="C32" s="39">
        <v>760403000</v>
      </c>
      <c r="D32" s="39">
        <v>1185304501</v>
      </c>
    </row>
    <row r="33" spans="1:4" x14ac:dyDescent="0.2">
      <c r="A33" s="38" t="s">
        <v>1165</v>
      </c>
      <c r="C33" s="551">
        <v>816086615</v>
      </c>
      <c r="D33" s="551">
        <v>496998990.01999998</v>
      </c>
    </row>
    <row r="34" spans="1:4" x14ac:dyDescent="0.2">
      <c r="A34" s="38" t="s">
        <v>1224</v>
      </c>
      <c r="C34" s="551">
        <v>1072371</v>
      </c>
      <c r="D34" s="39">
        <v>0</v>
      </c>
    </row>
    <row r="35" spans="1:4" x14ac:dyDescent="0.2">
      <c r="A35" s="40" t="s">
        <v>377</v>
      </c>
      <c r="B35" s="38"/>
      <c r="C35" s="39"/>
      <c r="D35" s="39"/>
    </row>
    <row r="36" spans="1:4" x14ac:dyDescent="0.2">
      <c r="A36" s="38" t="s">
        <v>844</v>
      </c>
      <c r="B36" s="38"/>
      <c r="C36" s="484">
        <v>791524443.25</v>
      </c>
      <c r="D36" s="484">
        <v>0</v>
      </c>
    </row>
    <row r="37" spans="1:4" x14ac:dyDescent="0.2">
      <c r="A37" s="38" t="s">
        <v>845</v>
      </c>
      <c r="B37" s="38"/>
      <c r="C37" s="484">
        <v>111792555.70999999</v>
      </c>
      <c r="D37" s="484">
        <v>83202607.549999997</v>
      </c>
    </row>
    <row r="38" spans="1:4" x14ac:dyDescent="0.2">
      <c r="A38" s="38" t="s">
        <v>1228</v>
      </c>
      <c r="B38" s="38"/>
      <c r="C38" s="484">
        <v>158750950.78999999</v>
      </c>
      <c r="D38" s="484">
        <v>86745714.450000003</v>
      </c>
    </row>
    <row r="39" spans="1:4" x14ac:dyDescent="0.2">
      <c r="A39" s="38" t="s">
        <v>846</v>
      </c>
      <c r="B39" s="38"/>
      <c r="C39" s="484">
        <v>62239331.759999998</v>
      </c>
      <c r="D39" s="484">
        <v>32559841.469999999</v>
      </c>
    </row>
    <row r="40" spans="1:4" x14ac:dyDescent="0.2">
      <c r="A40" s="38" t="s">
        <v>913</v>
      </c>
      <c r="B40" s="38"/>
      <c r="C40" s="484">
        <v>86335265.010000005</v>
      </c>
      <c r="D40" s="484">
        <v>102544894</v>
      </c>
    </row>
    <row r="41" spans="1:4" x14ac:dyDescent="0.2">
      <c r="A41" s="38" t="s">
        <v>847</v>
      </c>
      <c r="B41" s="38"/>
      <c r="C41" s="484">
        <v>56207516.700000003</v>
      </c>
      <c r="D41" s="484">
        <v>52115749.799999997</v>
      </c>
    </row>
    <row r="42" spans="1:4" x14ac:dyDescent="0.2">
      <c r="A42" s="38" t="s">
        <v>848</v>
      </c>
      <c r="B42" s="38"/>
      <c r="C42" s="484">
        <v>85903952.340000004</v>
      </c>
      <c r="D42" s="484">
        <v>50082017.229999997</v>
      </c>
    </row>
    <row r="43" spans="1:4" x14ac:dyDescent="0.2">
      <c r="A43" s="38" t="s">
        <v>849</v>
      </c>
      <c r="B43" s="38"/>
      <c r="C43" s="484">
        <v>106687035.56999999</v>
      </c>
      <c r="D43" s="484">
        <v>99101879.700000003</v>
      </c>
    </row>
    <row r="44" spans="1:4" x14ac:dyDescent="0.2">
      <c r="A44" s="38" t="s">
        <v>857</v>
      </c>
      <c r="B44" s="38"/>
      <c r="C44" s="484">
        <v>154268767.68000001</v>
      </c>
      <c r="D44" s="484">
        <v>143434910.72</v>
      </c>
    </row>
    <row r="45" spans="1:4" x14ac:dyDescent="0.2">
      <c r="A45" s="38" t="s">
        <v>858</v>
      </c>
      <c r="B45" s="38"/>
      <c r="C45" s="484">
        <v>229931212.09</v>
      </c>
      <c r="D45" s="484">
        <v>208650181.91</v>
      </c>
    </row>
    <row r="46" spans="1:4" x14ac:dyDescent="0.2">
      <c r="A46" s="38" t="s">
        <v>859</v>
      </c>
      <c r="B46" s="38"/>
      <c r="C46" s="484">
        <v>110033243.77</v>
      </c>
      <c r="D46" s="484">
        <v>102305921.89</v>
      </c>
    </row>
    <row r="47" spans="1:4" x14ac:dyDescent="0.2">
      <c r="A47" s="38" t="s">
        <v>914</v>
      </c>
      <c r="B47" s="38"/>
      <c r="C47" s="484">
        <v>470915387.41000003</v>
      </c>
      <c r="D47" s="484">
        <v>52874068.590000004</v>
      </c>
    </row>
    <row r="48" spans="1:4" x14ac:dyDescent="0.2">
      <c r="A48" s="38" t="s">
        <v>961</v>
      </c>
      <c r="B48" s="38"/>
      <c r="C48" s="484">
        <v>336093735.22000003</v>
      </c>
      <c r="D48" s="484">
        <v>486354950.76999998</v>
      </c>
    </row>
    <row r="49" spans="1:4" x14ac:dyDescent="0.2">
      <c r="A49" s="38" t="s">
        <v>1166</v>
      </c>
      <c r="B49" s="38"/>
      <c r="C49" s="484">
        <v>301013195.68000001</v>
      </c>
      <c r="D49" s="484">
        <v>313054119.13</v>
      </c>
    </row>
    <row r="50" spans="1:4" x14ac:dyDescent="0.2">
      <c r="A50" s="38" t="s">
        <v>1227</v>
      </c>
      <c r="B50" s="38"/>
      <c r="C50" s="484">
        <v>85021952.700000003</v>
      </c>
      <c r="D50" s="484">
        <v>0</v>
      </c>
    </row>
    <row r="51" spans="1:4" ht="13.5" thickBot="1" x14ac:dyDescent="0.25">
      <c r="A51" s="40" t="s">
        <v>2</v>
      </c>
      <c r="B51" s="40"/>
      <c r="C51" s="41">
        <f>SUM($C$10:C50)</f>
        <v>7838220626.2900019</v>
      </c>
      <c r="D51" s="41">
        <f>SUM($D$10:D50)</f>
        <v>9589530999.6599998</v>
      </c>
    </row>
    <row r="52" spans="1:4" ht="13.5" thickTop="1" x14ac:dyDescent="0.2"/>
    <row r="54" spans="1:4" x14ac:dyDescent="0.2">
      <c r="C54" s="417"/>
    </row>
    <row r="57" spans="1:4" x14ac:dyDescent="0.2">
      <c r="C57" s="417"/>
    </row>
    <row r="58" spans="1:4" x14ac:dyDescent="0.2">
      <c r="C58" s="417"/>
    </row>
  </sheetData>
  <mergeCells count="3">
    <mergeCell ref="A2:E2"/>
    <mergeCell ref="A3:E3"/>
    <mergeCell ref="A4:C4"/>
  </mergeCells>
  <hyperlinks>
    <hyperlink ref="E1" location="BG!A1" display="BG" xr:uid="{00000000-0004-0000-0700-000000000000}"/>
  </hyperlinks>
  <printOptions horizontalCentered="1"/>
  <pageMargins left="0.70866141732283472" right="0.70866141732283472" top="0.74803149606299213" bottom="0.74803149606299213" header="0.31496062992125984" footer="0.31496062992125984"/>
  <pageSetup paperSize="9" scale="8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9">
    <tabColor rgb="FFFFFF00"/>
    <pageSetUpPr fitToPage="1"/>
  </sheetPr>
  <dimension ref="A1:AD63"/>
  <sheetViews>
    <sheetView topLeftCell="B1" zoomScaleNormal="100" zoomScaleSheetLayoutView="100" workbookViewId="0">
      <selection activeCell="A4" sqref="A4:C19"/>
    </sheetView>
  </sheetViews>
  <sheetFormatPr baseColWidth="10" defaultRowHeight="15" x14ac:dyDescent="0.25"/>
  <cols>
    <col min="1" max="1" width="72.85546875" bestFit="1" customWidth="1"/>
    <col min="2" max="2" width="16.140625" customWidth="1"/>
    <col min="3" max="3" width="18.28515625" customWidth="1"/>
    <col min="4" max="4" width="12" bestFit="1" customWidth="1"/>
    <col min="6" max="6" width="11.42578125" customWidth="1"/>
    <col min="7" max="30" width="11.5703125" style="103" customWidth="1"/>
  </cols>
  <sheetData>
    <row r="1" spans="1:6" x14ac:dyDescent="0.25">
      <c r="A1" s="103" t="str">
        <f>Indice!C1</f>
        <v>SALLUSTRO Y CIA. S.A.</v>
      </c>
      <c r="B1" s="103"/>
      <c r="C1" s="122" t="s">
        <v>117</v>
      </c>
      <c r="E1" s="103"/>
      <c r="F1" s="103"/>
    </row>
    <row r="2" spans="1:6" x14ac:dyDescent="0.25">
      <c r="A2" s="103"/>
      <c r="B2" s="103"/>
      <c r="C2" s="103"/>
      <c r="D2" s="103"/>
      <c r="E2" s="103"/>
      <c r="F2" s="103"/>
    </row>
    <row r="3" spans="1:6" x14ac:dyDescent="0.25">
      <c r="A3" s="103"/>
      <c r="B3" s="103"/>
      <c r="C3" s="103"/>
      <c r="D3" s="103"/>
      <c r="E3" s="103"/>
      <c r="F3" s="103"/>
    </row>
    <row r="4" spans="1:6" x14ac:dyDescent="0.25">
      <c r="A4" s="651" t="s">
        <v>240</v>
      </c>
      <c r="B4" s="651"/>
      <c r="C4" s="651"/>
      <c r="D4" s="103"/>
      <c r="E4" s="103"/>
      <c r="F4" s="103"/>
    </row>
    <row r="5" spans="1:6" x14ac:dyDescent="0.25">
      <c r="A5" s="102"/>
      <c r="B5" s="102"/>
      <c r="C5" s="102"/>
      <c r="D5" s="103"/>
      <c r="E5" s="103"/>
      <c r="F5" s="103"/>
    </row>
    <row r="6" spans="1:6" x14ac:dyDescent="0.25">
      <c r="A6" s="101" t="s">
        <v>3</v>
      </c>
      <c r="B6" s="102"/>
      <c r="C6" s="102"/>
      <c r="D6" s="103"/>
      <c r="E6" s="103"/>
      <c r="F6" s="103"/>
    </row>
    <row r="7" spans="1:6" x14ac:dyDescent="0.25">
      <c r="A7" s="101"/>
      <c r="B7" s="652" t="s">
        <v>258</v>
      </c>
      <c r="C7" s="652"/>
      <c r="D7" s="103"/>
      <c r="E7" s="103"/>
      <c r="F7" s="103"/>
    </row>
    <row r="8" spans="1:6" x14ac:dyDescent="0.25">
      <c r="A8" s="36" t="s">
        <v>4</v>
      </c>
      <c r="B8" s="303">
        <f>IFERROR(IF(Indice!B6="","2XX2",YEAR(Indice!B6)),"2XX2")</f>
        <v>2024</v>
      </c>
      <c r="C8" s="303">
        <f>IFERROR(YEAR(Indice!B6-366),"2XX1")</f>
        <v>2023</v>
      </c>
      <c r="D8" s="103"/>
      <c r="E8" s="103"/>
      <c r="F8" s="103"/>
    </row>
    <row r="9" spans="1:6" x14ac:dyDescent="0.25">
      <c r="A9" s="103" t="s">
        <v>381</v>
      </c>
      <c r="B9" s="353">
        <f>3450000000+219950449.83+209983100.57</f>
        <v>3879933550.4000001</v>
      </c>
      <c r="C9" s="353">
        <v>628163603.23000002</v>
      </c>
      <c r="D9" s="103"/>
      <c r="E9" s="103"/>
      <c r="F9" s="103"/>
    </row>
    <row r="10" spans="1:6" x14ac:dyDescent="0.25">
      <c r="A10" s="103" t="s">
        <v>380</v>
      </c>
      <c r="B10" s="485">
        <f>789740444.69+2802544475.08+35554.58+7790816.66</f>
        <v>3600111291.0099998</v>
      </c>
      <c r="C10" s="485">
        <v>3631795000</v>
      </c>
      <c r="D10" s="103"/>
      <c r="E10" s="103"/>
      <c r="F10" s="103"/>
    </row>
    <row r="11" spans="1:6" ht="15.75" thickBot="1" x14ac:dyDescent="0.3">
      <c r="A11" s="40" t="s">
        <v>2</v>
      </c>
      <c r="B11" s="41">
        <f>SUM($B$9:B10)</f>
        <v>7480044841.4099998</v>
      </c>
      <c r="C11" s="41">
        <f>SUM($C$9:C10)</f>
        <v>4259958603.23</v>
      </c>
      <c r="D11" s="443"/>
      <c r="E11" s="103"/>
      <c r="F11" s="103"/>
    </row>
    <row r="12" spans="1:6" ht="15.75" thickTop="1" x14ac:dyDescent="0.25">
      <c r="A12" s="103"/>
      <c r="B12" s="103"/>
      <c r="C12" s="103"/>
      <c r="D12" s="103"/>
      <c r="E12" s="103"/>
      <c r="F12" s="103"/>
    </row>
    <row r="13" spans="1:6" ht="14.45" customHeight="1" x14ac:dyDescent="0.25">
      <c r="A13" s="36" t="s">
        <v>1123</v>
      </c>
      <c r="B13" s="303">
        <f>IFERROR(IF(Indice!B6="","2XX2",YEAR(Indice!B6)),"2XX2")</f>
        <v>2024</v>
      </c>
      <c r="C13" s="303">
        <f>IFERROR(YEAR(Indice!B6-366),"2XX1")</f>
        <v>2023</v>
      </c>
      <c r="D13" s="103"/>
      <c r="E13" s="103"/>
      <c r="F13" s="103"/>
    </row>
    <row r="14" spans="1:6" ht="14.45" customHeight="1" x14ac:dyDescent="0.25">
      <c r="A14" s="103" t="s">
        <v>381</v>
      </c>
      <c r="B14" s="510">
        <v>12030909090.91</v>
      </c>
      <c r="C14" s="510">
        <v>13130909090.91</v>
      </c>
      <c r="D14" s="103"/>
      <c r="E14" s="103"/>
      <c r="F14" s="103"/>
    </row>
    <row r="15" spans="1:6" ht="14.45" customHeight="1" thickBot="1" x14ac:dyDescent="0.3">
      <c r="A15" s="40" t="s">
        <v>2</v>
      </c>
      <c r="B15" s="41">
        <f>SUM(B14)</f>
        <v>12030909090.91</v>
      </c>
      <c r="C15" s="41">
        <f>SUM(C14)</f>
        <v>13130909090.91</v>
      </c>
      <c r="D15" s="103"/>
      <c r="E15" s="103"/>
      <c r="F15" s="103"/>
    </row>
    <row r="16" spans="1:6" ht="15.75" thickTop="1" x14ac:dyDescent="0.25">
      <c r="A16" s="103"/>
      <c r="B16" s="103"/>
      <c r="C16" s="103"/>
      <c r="D16" s="103"/>
      <c r="E16" s="103"/>
      <c r="F16" s="103"/>
    </row>
    <row r="17" spans="1:6" x14ac:dyDescent="0.25">
      <c r="A17" s="103"/>
      <c r="B17" s="103"/>
      <c r="C17" s="103"/>
      <c r="D17" s="103"/>
      <c r="E17" s="103"/>
      <c r="F17" s="103"/>
    </row>
    <row r="18" spans="1:6" x14ac:dyDescent="0.25">
      <c r="A18" s="103"/>
      <c r="B18" s="103"/>
      <c r="C18" s="103"/>
      <c r="D18" s="103"/>
      <c r="E18" s="103"/>
      <c r="F18" s="103"/>
    </row>
    <row r="19" spans="1:6" x14ac:dyDescent="0.25">
      <c r="A19" s="103"/>
      <c r="B19" s="103"/>
      <c r="C19" s="103"/>
      <c r="D19" s="103"/>
      <c r="E19" s="103"/>
      <c r="F19" s="103"/>
    </row>
    <row r="20" spans="1:6" x14ac:dyDescent="0.25">
      <c r="A20" s="103"/>
      <c r="B20" s="103"/>
      <c r="C20" s="103"/>
      <c r="D20" s="103"/>
      <c r="E20" s="103"/>
      <c r="F20" s="103"/>
    </row>
    <row r="21" spans="1:6" x14ac:dyDescent="0.25">
      <c r="A21" s="103"/>
      <c r="B21" s="103"/>
      <c r="C21" s="103"/>
      <c r="D21" s="103"/>
      <c r="E21" s="103"/>
      <c r="F21" s="103"/>
    </row>
    <row r="22" spans="1:6" x14ac:dyDescent="0.25">
      <c r="A22" s="103"/>
      <c r="B22" s="103"/>
      <c r="C22" s="103"/>
      <c r="D22" s="103"/>
      <c r="E22" s="103"/>
      <c r="F22" s="103"/>
    </row>
    <row r="23" spans="1:6" x14ac:dyDescent="0.25">
      <c r="A23" s="103"/>
      <c r="B23" s="103"/>
      <c r="C23" s="103"/>
      <c r="D23" s="103"/>
      <c r="E23" s="103"/>
      <c r="F23" s="103"/>
    </row>
    <row r="24" spans="1:6" x14ac:dyDescent="0.25">
      <c r="A24" s="103"/>
      <c r="B24" s="103"/>
      <c r="C24" s="103"/>
      <c r="D24" s="103"/>
      <c r="E24" s="103"/>
      <c r="F24" s="103"/>
    </row>
    <row r="25" spans="1:6" x14ac:dyDescent="0.25">
      <c r="A25" s="103"/>
      <c r="B25" s="103"/>
      <c r="C25" s="103"/>
      <c r="D25" s="103"/>
      <c r="E25" s="103"/>
      <c r="F25" s="103"/>
    </row>
    <row r="26" spans="1:6" x14ac:dyDescent="0.25">
      <c r="A26" s="103"/>
      <c r="B26" s="103"/>
      <c r="C26" s="103"/>
      <c r="D26" s="103"/>
      <c r="E26" s="103"/>
      <c r="F26" s="103"/>
    </row>
    <row r="27" spans="1:6" x14ac:dyDescent="0.25">
      <c r="A27" s="103"/>
      <c r="B27" s="103"/>
      <c r="C27" s="103"/>
      <c r="D27" s="103"/>
      <c r="E27" s="103"/>
      <c r="F27" s="103"/>
    </row>
    <row r="28" spans="1:6" x14ac:dyDescent="0.25">
      <c r="A28" s="103"/>
      <c r="B28" s="103"/>
      <c r="C28" s="103"/>
      <c r="D28" s="103"/>
      <c r="E28" s="103"/>
      <c r="F28" s="103"/>
    </row>
    <row r="29" spans="1:6" x14ac:dyDescent="0.25">
      <c r="A29" s="103"/>
      <c r="B29" s="103"/>
      <c r="C29" s="103"/>
      <c r="D29" s="103"/>
      <c r="E29" s="103"/>
      <c r="F29" s="103"/>
    </row>
    <row r="30" spans="1:6" x14ac:dyDescent="0.25">
      <c r="A30" s="103"/>
      <c r="B30" s="103"/>
      <c r="C30" s="103"/>
      <c r="D30" s="103"/>
      <c r="E30" s="103"/>
      <c r="F30" s="103"/>
    </row>
    <row r="31" spans="1:6" x14ac:dyDescent="0.25">
      <c r="A31" s="103"/>
      <c r="B31" s="103"/>
      <c r="C31" s="103"/>
      <c r="D31" s="103"/>
      <c r="E31" s="103"/>
      <c r="F31" s="103"/>
    </row>
    <row r="32" spans="1:6" x14ac:dyDescent="0.25">
      <c r="A32" s="103"/>
      <c r="B32" s="103"/>
      <c r="C32" s="103"/>
      <c r="D32" s="103"/>
      <c r="E32" s="103"/>
      <c r="F32" s="103"/>
    </row>
    <row r="33" spans="1:6" x14ac:dyDescent="0.25">
      <c r="A33" s="103"/>
      <c r="B33" s="103"/>
      <c r="C33" s="103"/>
      <c r="D33" s="103"/>
      <c r="E33" s="103"/>
      <c r="F33" s="103"/>
    </row>
    <row r="34" spans="1:6" x14ac:dyDescent="0.25">
      <c r="A34" s="103"/>
      <c r="B34" s="103"/>
      <c r="C34" s="103"/>
      <c r="D34" s="103"/>
      <c r="E34" s="103"/>
      <c r="F34" s="103"/>
    </row>
    <row r="35" spans="1:6" x14ac:dyDescent="0.25">
      <c r="A35" s="103"/>
      <c r="B35" s="103"/>
      <c r="C35" s="103"/>
      <c r="D35" s="103"/>
      <c r="E35" s="103"/>
      <c r="F35" s="103"/>
    </row>
    <row r="36" spans="1:6" x14ac:dyDescent="0.25">
      <c r="A36" s="103"/>
      <c r="B36" s="103"/>
      <c r="C36" s="103"/>
      <c r="D36" s="103"/>
      <c r="E36" s="103"/>
      <c r="F36" s="103"/>
    </row>
    <row r="37" spans="1:6" x14ac:dyDescent="0.25">
      <c r="A37" s="103"/>
      <c r="B37" s="103"/>
      <c r="C37" s="103"/>
      <c r="D37" s="103"/>
      <c r="E37" s="103"/>
      <c r="F37" s="103"/>
    </row>
    <row r="38" spans="1:6" x14ac:dyDescent="0.25">
      <c r="A38" s="103"/>
      <c r="B38" s="103"/>
      <c r="C38" s="103"/>
      <c r="D38" s="103"/>
      <c r="E38" s="103"/>
      <c r="F38" s="103"/>
    </row>
    <row r="39" spans="1:6" x14ac:dyDescent="0.25">
      <c r="A39" s="103"/>
      <c r="B39" s="103"/>
      <c r="C39" s="103"/>
      <c r="D39" s="103"/>
      <c r="E39" s="103"/>
      <c r="F39" s="103"/>
    </row>
    <row r="40" spans="1:6" x14ac:dyDescent="0.25">
      <c r="A40" s="103"/>
      <c r="B40" s="103"/>
      <c r="C40" s="103"/>
      <c r="D40" s="103"/>
      <c r="E40" s="103"/>
      <c r="F40" s="103"/>
    </row>
    <row r="41" spans="1:6" x14ac:dyDescent="0.25">
      <c r="A41" s="103"/>
      <c r="B41" s="103"/>
      <c r="C41" s="103"/>
      <c r="D41" s="103"/>
      <c r="E41" s="103"/>
      <c r="F41" s="103"/>
    </row>
    <row r="42" spans="1:6" x14ac:dyDescent="0.25">
      <c r="A42" s="103"/>
      <c r="B42" s="103"/>
      <c r="C42" s="103"/>
      <c r="D42" s="103"/>
      <c r="E42" s="103"/>
      <c r="F42" s="103"/>
    </row>
    <row r="43" spans="1:6" x14ac:dyDescent="0.25">
      <c r="A43" s="103"/>
      <c r="B43" s="103"/>
      <c r="C43" s="103"/>
      <c r="D43" s="103"/>
      <c r="E43" s="103"/>
      <c r="F43" s="103"/>
    </row>
    <row r="44" spans="1:6" x14ac:dyDescent="0.25">
      <c r="A44" s="103"/>
      <c r="B44" s="103"/>
      <c r="C44" s="103"/>
      <c r="D44" s="103"/>
      <c r="E44" s="103"/>
      <c r="F44" s="103"/>
    </row>
    <row r="45" spans="1:6" x14ac:dyDescent="0.25">
      <c r="A45" s="103"/>
      <c r="B45" s="103"/>
      <c r="C45" s="103"/>
      <c r="D45" s="103"/>
      <c r="E45" s="103"/>
      <c r="F45" s="103"/>
    </row>
    <row r="46" spans="1:6" x14ac:dyDescent="0.25">
      <c r="A46" s="103"/>
      <c r="B46" s="103"/>
      <c r="C46" s="103"/>
      <c r="D46" s="103"/>
      <c r="E46" s="103"/>
      <c r="F46" s="103"/>
    </row>
    <row r="47" spans="1:6" x14ac:dyDescent="0.25">
      <c r="A47" s="103"/>
      <c r="B47" s="103"/>
      <c r="C47" s="103"/>
      <c r="D47" s="103"/>
      <c r="E47" s="103"/>
      <c r="F47" s="103"/>
    </row>
    <row r="48" spans="1:6" x14ac:dyDescent="0.25">
      <c r="A48" s="103"/>
      <c r="B48" s="103"/>
      <c r="C48" s="103"/>
      <c r="D48" s="103"/>
      <c r="E48" s="103"/>
      <c r="F48" s="103"/>
    </row>
    <row r="49" spans="1:6" x14ac:dyDescent="0.25">
      <c r="A49" s="103"/>
      <c r="B49" s="103"/>
      <c r="C49" s="103"/>
      <c r="D49" s="103"/>
      <c r="E49" s="103"/>
      <c r="F49" s="103"/>
    </row>
    <row r="50" spans="1:6" x14ac:dyDescent="0.25">
      <c r="A50" s="103"/>
      <c r="B50" s="103"/>
      <c r="C50" s="103"/>
      <c r="D50" s="103"/>
      <c r="E50" s="103"/>
      <c r="F50" s="103"/>
    </row>
    <row r="51" spans="1:6" x14ac:dyDescent="0.25">
      <c r="A51" s="103"/>
      <c r="B51" s="103"/>
      <c r="C51" s="103"/>
      <c r="D51" s="103"/>
      <c r="E51" s="103"/>
      <c r="F51" s="103"/>
    </row>
    <row r="52" spans="1:6" x14ac:dyDescent="0.25">
      <c r="A52" s="103"/>
      <c r="B52" s="103"/>
      <c r="C52" s="103"/>
      <c r="D52" s="103"/>
      <c r="E52" s="103"/>
      <c r="F52" s="103"/>
    </row>
    <row r="53" spans="1:6" x14ac:dyDescent="0.25">
      <c r="A53" s="103"/>
      <c r="B53" s="103"/>
      <c r="C53" s="103"/>
      <c r="D53" s="103"/>
      <c r="E53" s="103"/>
      <c r="F53" s="103"/>
    </row>
    <row r="54" spans="1:6" x14ac:dyDescent="0.25">
      <c r="A54" s="103"/>
      <c r="B54" s="103"/>
      <c r="C54" s="103"/>
      <c r="D54" s="103"/>
      <c r="E54" s="103"/>
      <c r="F54" s="103"/>
    </row>
    <row r="55" spans="1:6" x14ac:dyDescent="0.25">
      <c r="A55" s="103"/>
      <c r="B55" s="103"/>
      <c r="C55" s="103"/>
      <c r="D55" s="103"/>
      <c r="E55" s="103"/>
      <c r="F55" s="103"/>
    </row>
    <row r="56" spans="1:6" x14ac:dyDescent="0.25">
      <c r="A56" s="103"/>
      <c r="B56" s="103"/>
      <c r="C56" s="103"/>
      <c r="D56" s="103"/>
      <c r="E56" s="103"/>
      <c r="F56" s="103"/>
    </row>
    <row r="57" spans="1:6" x14ac:dyDescent="0.25">
      <c r="A57" s="103"/>
      <c r="B57" s="103"/>
      <c r="C57" s="103"/>
      <c r="D57" s="103"/>
      <c r="E57" s="103"/>
      <c r="F57" s="103"/>
    </row>
    <row r="58" spans="1:6" x14ac:dyDescent="0.25">
      <c r="A58" s="103"/>
      <c r="B58" s="103"/>
      <c r="C58" s="103"/>
      <c r="D58" s="103"/>
      <c r="E58" s="103"/>
      <c r="F58" s="103"/>
    </row>
    <row r="59" spans="1:6" x14ac:dyDescent="0.25">
      <c r="A59" s="103"/>
      <c r="B59" s="103"/>
      <c r="C59" s="103"/>
      <c r="D59" s="103"/>
      <c r="E59" s="103"/>
      <c r="F59" s="103"/>
    </row>
    <row r="60" spans="1:6" x14ac:dyDescent="0.25">
      <c r="A60" s="103"/>
      <c r="B60" s="103"/>
      <c r="C60" s="103"/>
      <c r="D60" s="103"/>
      <c r="E60" s="103"/>
      <c r="F60" s="103"/>
    </row>
    <row r="61" spans="1:6" x14ac:dyDescent="0.25">
      <c r="A61" s="103"/>
      <c r="B61" s="103"/>
      <c r="C61" s="103"/>
      <c r="D61" s="103"/>
      <c r="E61" s="103"/>
      <c r="F61" s="103"/>
    </row>
    <row r="62" spans="1:6" x14ac:dyDescent="0.25">
      <c r="A62" s="103"/>
      <c r="B62" s="103"/>
      <c r="C62" s="103"/>
      <c r="D62" s="103"/>
      <c r="E62" s="103"/>
      <c r="F62" s="103"/>
    </row>
    <row r="63" spans="1:6" x14ac:dyDescent="0.25">
      <c r="A63" s="103"/>
      <c r="B63" s="103"/>
      <c r="C63" s="103"/>
      <c r="D63" s="103"/>
      <c r="E63" s="103"/>
      <c r="F63" s="103"/>
    </row>
  </sheetData>
  <mergeCells count="2">
    <mergeCell ref="A4:C4"/>
    <mergeCell ref="B7:C7"/>
  </mergeCells>
  <hyperlinks>
    <hyperlink ref="C1" location="BG!A1" display="BG" xr:uid="{00000000-0004-0000-0800-000000000000}"/>
  </hyperlinks>
  <printOptions horizontalCentered="1"/>
  <pageMargins left="0.70866141732283472" right="0.70866141732283472" top="0.74803149606299213" bottom="0.74803149606299213" header="0.31496062992125984" footer="0.31496062992125984"/>
  <pageSetup paperSize="9" scale="20" orientation="portrait" r:id="rId1"/>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7" Type="http://schemas.openxmlformats.org/package/2006/relationships/digital-signature/signature" Target="sig7.xml"/><Relationship Id="rId2" Type="http://schemas.openxmlformats.org/package/2006/relationships/digital-signature/signature" Target="sig2.xml"/><Relationship Id="rId6" Type="http://schemas.openxmlformats.org/package/2006/relationships/digital-signature/signature" Target="sig6.xml"/><Relationship Id="rId5" Type="http://schemas.openxmlformats.org/package/2006/relationships/digital-signature/signature" Target="sig5.xml"/><Relationship Id="rId4" Type="http://schemas.openxmlformats.org/package/2006/relationships/digital-signature/signature" Target="sig4.xml"/></Relationships>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pwl7wcthEoWEqvZAx/wS3ad3IOQCmtxm9nKxCoVDmXw=</DigestValue>
    </Reference>
    <Reference Type="http://www.w3.org/2000/09/xmldsig#Object" URI="#idOfficeObject">
      <DigestMethod Algorithm="http://www.w3.org/2001/04/xmlenc#sha256"/>
      <DigestValue>Bu1Pf9+UUPNP+bRN5CR6HbxXrmvY2ZgHcBrxVGFqqr4=</DigestValue>
    </Reference>
    <Reference Type="http://uri.etsi.org/01903#SignedProperties" URI="#idSignedProperties">
      <Transforms>
        <Transform Algorithm="http://www.w3.org/TR/2001/REC-xml-c14n-20010315"/>
      </Transforms>
      <DigestMethod Algorithm="http://www.w3.org/2001/04/xmlenc#sha256"/>
      <DigestValue>lkupSbm/QO6w/voQ+jS50RcZ6YBI5N2jZj4F6PnlhF4=</DigestValue>
    </Reference>
    <Reference Type="http://www.w3.org/2000/09/xmldsig#Object" URI="#idValidSigLnImg">
      <DigestMethod Algorithm="http://www.w3.org/2001/04/xmlenc#sha256"/>
      <DigestValue>ijH0MTeDJbj/3kcOoFJ1Vv16KYmWl5bZrWWeaTZxdz8=</DigestValue>
    </Reference>
    <Reference Type="http://www.w3.org/2000/09/xmldsig#Object" URI="#idInvalidSigLnImg">
      <DigestMethod Algorithm="http://www.w3.org/2001/04/xmlenc#sha256"/>
      <DigestValue>M1gC5fXRmvG/QL17QR1eHlHngSDtgdwv8ZnD+Frct3c=</DigestValue>
    </Reference>
  </SignedInfo>
  <SignatureValue>BJj2Q8oKaGMdtLpuDRJBw5xbUXJCCaSpdXY1n1XBe4sScf1K+nCNUrTDLtA7vFyM1YMU8mbEjpjZ
D/GRgqxHPI4TadYsQBOp7tCwnHE4aNSkYcQAFsV3kaYuTaO8PzdezNQ/jD7EI/ems0uRlKXdsBma
LKLNI0XmL/EY1M2XW+s6F+Ch1m5/JEA3X3S+PaQqJkISaJJ1fgrEZwi6wrFj3q3Gq6vjUeUd0+JQ
w8yGrMGHJznqRXVL/Cf9ai7wKf82G3tfpEWqRY8MfcI91JTpBJxOG5d2mkCkLuRzQh7Wi4us3tDZ
4670Prxxhag5MESaTNoSKPnwpVUyHE6cTTR0FA==</SignatureValue>
  <KeyInfo>
    <X509Data>
      <X509Certificate>MIIIcDCCBligAwIBAgIINhMgDBJSM7EwDQYJKoZIhvcNAQELBQAwWjEaMBgGA1UEAwwRQ0EtRE9DVU1FTlRBIFMuQS4xFjAUBgNVBAUTDVJVQzgwMDUwMTcyLTExFzAVBgNVBAoMDkRPQ1VNRU5UQSBTLkEuMQswCQYDVQQGEwJQWTAeFw0yNDAyMjcxODA3MDBaFw0yNjAyMjYxODA3MDBaMIGqMRwwGgYDVQQDDBNHVUlMTEVSTU8gTEVPWiBQQU5FMREwDwYDVQQFEwhDSTM2NTYzMDESMBAGA1UEKgwJR1VJTExFUk1PMRIwEAYDVQQEDAlMRU9aIFBBTkUxCzAJBgNVBAsMAkYyMTUwMwYDVQQKDCxDRVJUSUZJQ0FETyBDVUFMSUZJQ0FETyBERSBGSVJNQSBFTEVDVFJPTklDQTELMAkGA1UEBhMCUFkwggEiMA0GCSqGSIb3DQEBAQUAA4IBDwAwggEKAoIBAQDhm5/W8sZQBcE7GkMUBTE5mpZ1aF2SMkLJsv6VTeE3sxm9Yl/iMn/dxlQ98EQziXyul2VPgw5cmUHhyradK3CQqvcN6YebVpIz4JQsj54vPVSVBXltfyWAhYr06D6vf16WGV5TopvCOutD8Pfrako/HuWNWC1/0Iw/d5r6NXmsVHMcKv7OlwD7GgAbNuILhBs0oFUSN7gd1G6bCHc0xiOfpOz0PCybN8VxQdscXUzcl0xgP8Fhc3Zqw2rg/fej0dfKLowOMH1rzpNEEVuPi/awngLIOETikHV5FnETWG2U+pF2xDXgC6wYzanHzwpwaJIHWmUcO9bOjkKlbtpEq2p5AgMBAAGjggPnMIID4zAMBgNVHRMBAf8EAjAAMB8GA1UdIwQYMBaAFKE9hSvN2CyWHzkCDJ9TO1jYlQt7MIGUBggrBgEFBQcBAQSBhzCBhDBVBggrBgEFBQcwAoZJaHR0cHM6Ly93d3cuZGlnaXRvLmNvbS5weS91cGxvYWRzL2NlcnRpZmljYWRvLWRvY3VtZW50YS1zYS0xNTM1MTE3NzcxLmNydDArBggrBgEFBQcwAYYfaHR0cHM6Ly93d3cuZGlnaXRvLmNvbS5weS9vY3NwLzBKBgNVHREEQzBBgRNnbGVvenBhbmV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81K2kXzZA5WnXlU6KFMuCHM2WfwwDgYDVR0PAQH/BAQDAgXgMA0GCSqGSIb3DQEBCwUAA4ICAQCKJ0y7W2MkKN1VaY+fJsHlAVoBgrIj0uLD1iMk8sKlCITWy3J5yvK3esokjBCcT6Ynbah62lTfsamX7jwllY07AxPoNCA6SVhxC/uy1W09OhGcGSFNLzQk/jkd8HaMXbIbBtCYJseq1Y6EMt3BDY5PvEKgpu5RxPpyaEvCk96fF1HoJllNs0sBUYgaU2YtaT+wV+fFAnksThjvDnX62MU2t78c2p51LPJYBy3AG4Mq/totwNaHXGzFWJjvNJB7YZ1izR3rToqeb2hMp95RTWZpm18vfng8p19y2NvAx4VcjD9fAWt91ZWcVL2A0cKLBJpCuyQ1VMRgCu6IthHxdtwyb/qa8aavtcL31XVp0+2/tLGzz8ka8nANApUzJkfDJvvXdm4QqhsukF7zLUyOt8sigftrdX9RkiPSUXVK/Ku1iX4AQgAqXZ8eyls4qVurKqFceJQoDlul3NEfK+MOLqXc+TzMUO+ss8iT5ozduRm72oohSMWTcKUdNuEuWED7Qz2f1nWZO71S7HpZjKoyckWhTQcBi+Q9mXlMC4pMjqw1XzaJ8Xwc6HA4ykN5tj7aXTqmt/Vdopm1Oe+S1V9EdFicTajFCDTls56lpihFvLEWYWi4F7LUgQdRWIjazrcBOAXhPXxBvV5cMr0Pvvee1oNaOi9j1FW6VNQO+Q+fE3XgB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Transform>
          <Transform Algorithm="http://www.w3.org/TR/2001/REC-xml-c14n-20010315"/>
        </Transforms>
        <DigestMethod Algorithm="http://www.w3.org/2001/04/xmlenc#sha256"/>
        <DigestValue>X0zay39lAcy+joH66+NIv7xgenr+10RaM/eMl+BRvHQ=</DigestValue>
      </Reference>
      <Reference URI="/xl/calcChain.xml?ContentType=application/vnd.openxmlformats-officedocument.spreadsheetml.calcChain+xml">
        <DigestMethod Algorithm="http://www.w3.org/2001/04/xmlenc#sha256"/>
        <DigestValue>fbCCk27TLgesV8Jumswwms/ScvHFBkXBn/G77sxlFFA=</DigestValue>
      </Reference>
      <Reference URI="/xl/comments1.xml?ContentType=application/vnd.openxmlformats-officedocument.spreadsheetml.comments+xml">
        <DigestMethod Algorithm="http://www.w3.org/2001/04/xmlenc#sha256"/>
        <DigestValue>qnLCTzD69tBaj2Lsg6Jm3UbqVYuybhe9x6YPjSqAndM=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VB1yhbw7Gmyj1OTWV/qPomHE5sCDThzc5tVRBFnHCxE=</DigestValue>
      </Reference>
      <Reference URI="/xl/drawings/drawing10.xml?ContentType=application/vnd.openxmlformats-officedocument.drawing+xml">
        <DigestMethod Algorithm="http://www.w3.org/2001/04/xmlenc#sha256"/>
        <DigestValue>M4oiLfApTm1N39o9afLSU//tktDlGcZRNaMQ/vN4EGc=</DigestValue>
      </Reference>
      <Reference URI="/xl/drawings/drawing11.xml?ContentType=application/vnd.openxmlformats-officedocument.drawing+xml">
        <DigestMethod Algorithm="http://www.w3.org/2001/04/xmlenc#sha256"/>
        <DigestValue>prfPEyJG3DtmgObLtakRyZJuZNJJLeFlG/6ahj0ufPc=</DigestValue>
      </Reference>
      <Reference URI="/xl/drawings/drawing12.xml?ContentType=application/vnd.openxmlformats-officedocument.drawing+xml">
        <DigestMethod Algorithm="http://www.w3.org/2001/04/xmlenc#sha256"/>
        <DigestValue>ElgOjqForbR9Jj7Zt7qGVL3cWmvs3VwTTyNJTTulAS4=</DigestValue>
      </Reference>
      <Reference URI="/xl/drawings/drawing13.xml?ContentType=application/vnd.openxmlformats-officedocument.drawing+xml">
        <DigestMethod Algorithm="http://www.w3.org/2001/04/xmlenc#sha256"/>
        <DigestValue>VtWEA9TwWheIRgVchVvI6CM7SMKzhtSy2k7QgLYvoTk=</DigestValue>
      </Reference>
      <Reference URI="/xl/drawings/drawing14.xml?ContentType=application/vnd.openxmlformats-officedocument.drawing+xml">
        <DigestMethod Algorithm="http://www.w3.org/2001/04/xmlenc#sha256"/>
        <DigestValue>o4vWr+q2RW9iQTFwwUiTJ0ubucBXzo26t4yUVCKXwXM=</DigestValue>
      </Reference>
      <Reference URI="/xl/drawings/drawing15.xml?ContentType=application/vnd.openxmlformats-officedocument.drawing+xml">
        <DigestMethod Algorithm="http://www.w3.org/2001/04/xmlenc#sha256"/>
        <DigestValue>056Dhz2Aew7MpdfRQvHak4DXlXgi5aFByk7qUF4wJYA=</DigestValue>
      </Reference>
      <Reference URI="/xl/drawings/drawing16.xml?ContentType=application/vnd.openxmlformats-officedocument.drawing+xml">
        <DigestMethod Algorithm="http://www.w3.org/2001/04/xmlenc#sha256"/>
        <DigestValue>zMHuH22+oCni68SSFUYxYmhKueZXWEMG9do+MC0Eo1g=</DigestValue>
      </Reference>
      <Reference URI="/xl/drawings/drawing17.xml?ContentType=application/vnd.openxmlformats-officedocument.drawing+xml">
        <DigestMethod Algorithm="http://www.w3.org/2001/04/xmlenc#sha256"/>
        <DigestValue>9nqJZgfEyar5HjT2Y7nLsiKYudRvQuq6MgfR24amcuk=</DigestValue>
      </Reference>
      <Reference URI="/xl/drawings/drawing18.xml?ContentType=application/vnd.openxmlformats-officedocument.drawing+xml">
        <DigestMethod Algorithm="http://www.w3.org/2001/04/xmlenc#sha256"/>
        <DigestValue>Q2D78Vy8lMSm22nVXp0zSxhBv0lKK2CUlReZQWhzTqM=</DigestValue>
      </Reference>
      <Reference URI="/xl/drawings/drawing2.xml?ContentType=application/vnd.openxmlformats-officedocument.drawing+xml">
        <DigestMethod Algorithm="http://www.w3.org/2001/04/xmlenc#sha256"/>
        <DigestValue>ZkWAY+GEMZkQJlkThNu9CweLsQpYXIdo6nKP0k+dgfw=</DigestValue>
      </Reference>
      <Reference URI="/xl/drawings/drawing3.xml?ContentType=application/vnd.openxmlformats-officedocument.drawing+xml">
        <DigestMethod Algorithm="http://www.w3.org/2001/04/xmlenc#sha256"/>
        <DigestValue>lo5MvWBofZh/a6jv4sAOMgYTu0NdSALZKz25w3P2fkA=</DigestValue>
      </Reference>
      <Reference URI="/xl/drawings/drawing4.xml?ContentType=application/vnd.openxmlformats-officedocument.drawing+xml">
        <DigestMethod Algorithm="http://www.w3.org/2001/04/xmlenc#sha256"/>
        <DigestValue>U8IihizxGs5Wi6xVpShZRXzN2wQW5UlvtawGGRJr2Mw=</DigestValue>
      </Reference>
      <Reference URI="/xl/drawings/drawing5.xml?ContentType=application/vnd.openxmlformats-officedocument.drawing+xml">
        <DigestMethod Algorithm="http://www.w3.org/2001/04/xmlenc#sha256"/>
        <DigestValue>b3O2jx+fjvCMHMwUtwzFIT18QT5gCrFER0iF62SEaRM=</DigestValue>
      </Reference>
      <Reference URI="/xl/drawings/drawing6.xml?ContentType=application/vnd.openxmlformats-officedocument.drawing+xml">
        <DigestMethod Algorithm="http://www.w3.org/2001/04/xmlenc#sha256"/>
        <DigestValue>kBHwS31qQkQKv4z/0liQa0YoIfr1OJbuoxnr4u+SQDc=</DigestValue>
      </Reference>
      <Reference URI="/xl/drawings/drawing7.xml?ContentType=application/vnd.openxmlformats-officedocument.drawing+xml">
        <DigestMethod Algorithm="http://www.w3.org/2001/04/xmlenc#sha256"/>
        <DigestValue>NRydziRWBJXYM+eP3/wYTG0RDyHW1uHj5g1aNMFMP/4=</DigestValue>
      </Reference>
      <Reference URI="/xl/drawings/drawing8.xml?ContentType=application/vnd.openxmlformats-officedocument.drawing+xml">
        <DigestMethod Algorithm="http://www.w3.org/2001/04/xmlenc#sha256"/>
        <DigestValue>rmt1Fqnn7+mfWClI9pVSbi7fyb1z6bNHWQ6w4hUSaRI=</DigestValue>
      </Reference>
      <Reference URI="/xl/drawings/drawing9.xml?ContentType=application/vnd.openxmlformats-officedocument.drawing+xml">
        <DigestMethod Algorithm="http://www.w3.org/2001/04/xmlenc#sha256"/>
        <DigestValue>5zIsuhnzxAAQTb3ay+MBMmh3WQ6SRjJpYK0mvA3naBo=</DigestValue>
      </Reference>
      <Reference URI="/xl/drawings/vmlDrawing1.vml?ContentType=application/vnd.openxmlformats-officedocument.vmlDrawing">
        <DigestMethod Algorithm="http://www.w3.org/2001/04/xmlenc#sha256"/>
        <DigestValue>1Cv4jLy4lSkORB0ljCO0LlC2jTyEYkjoHJbzNB7k2FU=</DigestValue>
      </Reference>
      <Reference URI="/xl/drawings/vmlDrawing2.vml?ContentType=application/vnd.openxmlformats-officedocument.vmlDrawing">
        <DigestMethod Algorithm="http://www.w3.org/2001/04/xmlenc#sha256"/>
        <DigestValue>kZ2At4ohWjbRf1rwdOAhOXoDLmn46JzALr7IZgjWgtQ=</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h9fJY+lBcUFThe4N+TRU6csYQxyixPEAdH89DalYVpk=</DigestValue>
      </Reference>
      <Reference URI="/xl/externalLinks/externalLink1.xml?ContentType=application/vnd.openxmlformats-officedocument.spreadsheetml.externalLink+xml">
        <DigestMethod Algorithm="http://www.w3.org/2001/04/xmlenc#sha256"/>
        <DigestValue>XNhm+qnDqnrk+TkzUVbZvcgQZgfRgS3WiG1HUvsIoYw=</DigestValue>
      </Reference>
      <Reference URI="/xl/media/image1.png?ContentType=image/png">
        <DigestMethod Algorithm="http://www.w3.org/2001/04/xmlenc#sha256"/>
        <DigestValue>K2NW93tqc6EY2IgJTscfZeNC2EdRt9B2kLaU83bJs38=</DigestValue>
      </Reference>
      <Reference URI="/xl/media/image2.emf?ContentType=image/x-emf">
        <DigestMethod Algorithm="http://www.w3.org/2001/04/xmlenc#sha256"/>
        <DigestValue>/v+grmhFBfBgTfoIMzcBl8wLcdRqv+hiYpfqxSdilfU=</DigestValue>
      </Reference>
      <Reference URI="/xl/media/image3.emf?ContentType=image/x-emf">
        <DigestMethod Algorithm="http://www.w3.org/2001/04/xmlenc#sha256"/>
        <DigestValue>yOWUxYJKNMcN7T+amw2f7y9Spnf600L9CCUGUvP+L64=</DigestValue>
      </Reference>
      <Reference URI="/xl/media/image4.emf?ContentType=image/x-emf">
        <DigestMethod Algorithm="http://www.w3.org/2001/04/xmlenc#sha256"/>
        <DigestValue>PmawVfOdCR9JMs4vXg4Qh204dXSfD6x7RaDJaBef41M=</DigestValue>
      </Reference>
      <Reference URI="/xl/media/image5.emf?ContentType=image/x-emf">
        <DigestMethod Algorithm="http://www.w3.org/2001/04/xmlenc#sha256"/>
        <DigestValue>VYTNltr8I9MMEGNv/BDlf4Kk7yMiUNtVWiU8HKGHXWY=</DigestValue>
      </Reference>
      <Reference URI="/xl/media/image6.emf?ContentType=image/x-emf">
        <DigestMethod Algorithm="http://www.w3.org/2001/04/xmlenc#sha256"/>
        <DigestValue>5xjYICeEbpj4VPj/MJE2dSURUuioSFM7/uxzYiBM5Cw=</DigestValue>
      </Reference>
      <Reference URI="/xl/media/image7.png?ContentType=image/png">
        <DigestMethod Algorithm="http://www.w3.org/2001/04/xmlenc#sha256"/>
        <DigestValue>nnykxL6sHYwxaEYN4bNnKlAbSJy2p6Du/3yKaO3Lq0U=</DigestValue>
      </Reference>
      <Reference URI="/xl/printerSettings/printerSettings1.bin?ContentType=application/vnd.openxmlformats-officedocument.spreadsheetml.printerSettings">
        <DigestMethod Algorithm="http://www.w3.org/2001/04/xmlenc#sha256"/>
        <DigestValue>nJAHBoN2Wdd9B+xnkmN0ykoUgt2u5nrsxBIkEuDEWMI=</DigestValue>
      </Reference>
      <Reference URI="/xl/printerSettings/printerSettings10.bin?ContentType=application/vnd.openxmlformats-officedocument.spreadsheetml.printerSettings">
        <DigestMethod Algorithm="http://www.w3.org/2001/04/xmlenc#sha256"/>
        <DigestValue>ye0ygCp8mAHhrxXVqmrSxJPdXaRWG+7cYDv9YXcB6gc=</DigestValue>
      </Reference>
      <Reference URI="/xl/printerSettings/printerSettings11.bin?ContentType=application/vnd.openxmlformats-officedocument.spreadsheetml.printerSettings">
        <DigestMethod Algorithm="http://www.w3.org/2001/04/xmlenc#sha256"/>
        <DigestValue>ye0ygCp8mAHhrxXVqmrSxJPdXaRWG+7cYDv9YXcB6gc=</DigestValue>
      </Reference>
      <Reference URI="/xl/printerSettings/printerSettings12.bin?ContentType=application/vnd.openxmlformats-officedocument.spreadsheetml.printerSettings">
        <DigestMethod Algorithm="http://www.w3.org/2001/04/xmlenc#sha256"/>
        <DigestValue>1/ZWSL2z/rx8MILo7VSKeZ2fxt90tdO1+d177mn/62I=</DigestValue>
      </Reference>
      <Reference URI="/xl/printerSettings/printerSettings13.bin?ContentType=application/vnd.openxmlformats-officedocument.spreadsheetml.printerSettings">
        <DigestMethod Algorithm="http://www.w3.org/2001/04/xmlenc#sha256"/>
        <DigestValue>89nBNtWGa+e+nMBZt/vG241JYMcErfk0lLyizJbX5DQ=</DigestValue>
      </Reference>
      <Reference URI="/xl/printerSettings/printerSettings14.bin?ContentType=application/vnd.openxmlformats-officedocument.spreadsheetml.printerSettings">
        <DigestMethod Algorithm="http://www.w3.org/2001/04/xmlenc#sha256"/>
        <DigestValue>89nBNtWGa+e+nMBZt/vG241JYMcErfk0lLyizJbX5DQ=</DigestValue>
      </Reference>
      <Reference URI="/xl/printerSettings/printerSettings15.bin?ContentType=application/vnd.openxmlformats-officedocument.spreadsheetml.printerSettings">
        <DigestMethod Algorithm="http://www.w3.org/2001/04/xmlenc#sha256"/>
        <DigestValue>ye0ygCp8mAHhrxXVqmrSxJPdXaRWG+7cYDv9YXcB6gc=</DigestValue>
      </Reference>
      <Reference URI="/xl/printerSettings/printerSettings16.bin?ContentType=application/vnd.openxmlformats-officedocument.spreadsheetml.printerSettings">
        <DigestMethod Algorithm="http://www.w3.org/2001/04/xmlenc#sha256"/>
        <DigestValue>zHpi8B/AzGRLezKgmRPAVYXkZ0umem7y+NaskYMBbNo=</DigestValue>
      </Reference>
      <Reference URI="/xl/printerSettings/printerSettings17.bin?ContentType=application/vnd.openxmlformats-officedocument.spreadsheetml.printerSettings">
        <DigestMethod Algorithm="http://www.w3.org/2001/04/xmlenc#sha256"/>
        <DigestValue>ye0ygCp8mAHhrxXVqmrSxJPdXaRWG+7cYDv9YXcB6gc=</DigestValue>
      </Reference>
      <Reference URI="/xl/printerSettings/printerSettings18.bin?ContentType=application/vnd.openxmlformats-officedocument.spreadsheetml.printerSettings">
        <DigestMethod Algorithm="http://www.w3.org/2001/04/xmlenc#sha256"/>
        <DigestValue>zHpi8B/AzGRLezKgmRPAVYXkZ0umem7y+NaskYMBbNo=</DigestValue>
      </Reference>
      <Reference URI="/xl/printerSettings/printerSettings19.bin?ContentType=application/vnd.openxmlformats-officedocument.spreadsheetml.printerSettings">
        <DigestMethod Algorithm="http://www.w3.org/2001/04/xmlenc#sha256"/>
        <DigestValue>j2fyYiYEDbsNOQmjBcY1ZN1XHPKd9g1sTClCpHYJTxw=</DigestValue>
      </Reference>
      <Reference URI="/xl/printerSettings/printerSettings2.bin?ContentType=application/vnd.openxmlformats-officedocument.spreadsheetml.printerSettings">
        <DigestMethod Algorithm="http://www.w3.org/2001/04/xmlenc#sha256"/>
        <DigestValue>1/ZWSL2z/rx8MILo7VSKeZ2fxt90tdO1+d177mn/62I=</DigestValue>
      </Reference>
      <Reference URI="/xl/printerSettings/printerSettings20.bin?ContentType=application/vnd.openxmlformats-officedocument.spreadsheetml.printerSettings">
        <DigestMethod Algorithm="http://www.w3.org/2001/04/xmlenc#sha256"/>
        <DigestValue>ye0ygCp8mAHhrxXVqmrSxJPdXaRWG+7cYDv9YXcB6gc=</DigestValue>
      </Reference>
      <Reference URI="/xl/printerSettings/printerSettings21.bin?ContentType=application/vnd.openxmlformats-officedocument.spreadsheetml.printerSettings">
        <DigestMethod Algorithm="http://www.w3.org/2001/04/xmlenc#sha256"/>
        <DigestValue>1/ZWSL2z/rx8MILo7VSKeZ2fxt90tdO1+d177mn/62I=</DigestValue>
      </Reference>
      <Reference URI="/xl/printerSettings/printerSettings22.bin?ContentType=application/vnd.openxmlformats-officedocument.spreadsheetml.printerSettings">
        <DigestMethod Algorithm="http://www.w3.org/2001/04/xmlenc#sha256"/>
        <DigestValue>1/ZWSL2z/rx8MILo7VSKeZ2fxt90tdO1+d177mn/62I=</DigestValue>
      </Reference>
      <Reference URI="/xl/printerSettings/printerSettings23.bin?ContentType=application/vnd.openxmlformats-officedocument.spreadsheetml.printerSettings">
        <DigestMethod Algorithm="http://www.w3.org/2001/04/xmlenc#sha256"/>
        <DigestValue>1/ZWSL2z/rx8MILo7VSKeZ2fxt90tdO1+d177mn/62I=</DigestValue>
      </Reference>
      <Reference URI="/xl/printerSettings/printerSettings24.bin?ContentType=application/vnd.openxmlformats-officedocument.spreadsheetml.printerSettings">
        <DigestMethod Algorithm="http://www.w3.org/2001/04/xmlenc#sha256"/>
        <DigestValue>89nBNtWGa+e+nMBZt/vG241JYMcErfk0lLyizJbX5DQ=</DigestValue>
      </Reference>
      <Reference URI="/xl/printerSettings/printerSettings25.bin?ContentType=application/vnd.openxmlformats-officedocument.spreadsheetml.printerSettings">
        <DigestMethod Algorithm="http://www.w3.org/2001/04/xmlenc#sha256"/>
        <DigestValue>1/ZWSL2z/rx8MILo7VSKeZ2fxt90tdO1+d177mn/62I=</DigestValue>
      </Reference>
      <Reference URI="/xl/printerSettings/printerSettings26.bin?ContentType=application/vnd.openxmlformats-officedocument.spreadsheetml.printerSettings">
        <DigestMethod Algorithm="http://www.w3.org/2001/04/xmlenc#sha256"/>
        <DigestValue>ye0ygCp8mAHhrxXVqmrSxJPdXaRWG+7cYDv9YXcB6gc=</DigestValue>
      </Reference>
      <Reference URI="/xl/printerSettings/printerSettings27.bin?ContentType=application/vnd.openxmlformats-officedocument.spreadsheetml.printerSettings">
        <DigestMethod Algorithm="http://www.w3.org/2001/04/xmlenc#sha256"/>
        <DigestValue>ye0ygCp8mAHhrxXVqmrSxJPdXaRWG+7cYDv9YXcB6gc=</DigestValue>
      </Reference>
      <Reference URI="/xl/printerSettings/printerSettings28.bin?ContentType=application/vnd.openxmlformats-officedocument.spreadsheetml.printerSettings">
        <DigestMethod Algorithm="http://www.w3.org/2001/04/xmlenc#sha256"/>
        <DigestValue>uaG0dKgP9fdq5dc9SKOxsjO6aFrN5Az1VSB0/pJmHOY=</DigestValue>
      </Reference>
      <Reference URI="/xl/printerSettings/printerSettings29.bin?ContentType=application/vnd.openxmlformats-officedocument.spreadsheetml.printerSettings">
        <DigestMethod Algorithm="http://www.w3.org/2001/04/xmlenc#sha256"/>
        <DigestValue>1/ZWSL2z/rx8MILo7VSKeZ2fxt90tdO1+d177mn/62I=</DigestValue>
      </Reference>
      <Reference URI="/xl/printerSettings/printerSettings3.bin?ContentType=application/vnd.openxmlformats-officedocument.spreadsheetml.printerSettings">
        <DigestMethod Algorithm="http://www.w3.org/2001/04/xmlenc#sha256"/>
        <DigestValue>1/ZWSL2z/rx8MILo7VSKeZ2fxt90tdO1+d177mn/62I=</DigestValue>
      </Reference>
      <Reference URI="/xl/printerSettings/printerSettings30.bin?ContentType=application/vnd.openxmlformats-officedocument.spreadsheetml.printerSettings">
        <DigestMethod Algorithm="http://www.w3.org/2001/04/xmlenc#sha256"/>
        <DigestValue>nJAHBoN2Wdd9B+xnkmN0ykoUgt2u5nrsxBIkEuDEWMI=</DigestValue>
      </Reference>
      <Reference URI="/xl/printerSettings/printerSettings31.bin?ContentType=application/vnd.openxmlformats-officedocument.spreadsheetml.printerSettings">
        <DigestMethod Algorithm="http://www.w3.org/2001/04/xmlenc#sha256"/>
        <DigestValue>PKvbYuXDtz2QckuDs7cNpUQNkkCqcuMyB+0oxE8UEtI=</DigestValue>
      </Reference>
      <Reference URI="/xl/printerSettings/printerSettings32.bin?ContentType=application/vnd.openxmlformats-officedocument.spreadsheetml.printerSettings">
        <DigestMethod Algorithm="http://www.w3.org/2001/04/xmlenc#sha256"/>
        <DigestValue>ye0ygCp8mAHhrxXVqmrSxJPdXaRWG+7cYDv9YXcB6gc=</DigestValue>
      </Reference>
      <Reference URI="/xl/printerSettings/printerSettings33.bin?ContentType=application/vnd.openxmlformats-officedocument.spreadsheetml.printerSettings">
        <DigestMethod Algorithm="http://www.w3.org/2001/04/xmlenc#sha256"/>
        <DigestValue>89nBNtWGa+e+nMBZt/vG241JYMcErfk0lLyizJbX5DQ=</DigestValue>
      </Reference>
      <Reference URI="/xl/printerSettings/printerSettings34.bin?ContentType=application/vnd.openxmlformats-officedocument.spreadsheetml.printerSettings">
        <DigestMethod Algorithm="http://www.w3.org/2001/04/xmlenc#sha256"/>
        <DigestValue>1/ZWSL2z/rx8MILo7VSKeZ2fxt90tdO1+d177mn/62I=</DigestValue>
      </Reference>
      <Reference URI="/xl/printerSettings/printerSettings35.bin?ContentType=application/vnd.openxmlformats-officedocument.spreadsheetml.printerSettings">
        <DigestMethod Algorithm="http://www.w3.org/2001/04/xmlenc#sha256"/>
        <DigestValue>1/ZWSL2z/rx8MILo7VSKeZ2fxt90tdO1+d177mn/62I=</DigestValue>
      </Reference>
      <Reference URI="/xl/printerSettings/printerSettings36.bin?ContentType=application/vnd.openxmlformats-officedocument.spreadsheetml.printerSettings">
        <DigestMethod Algorithm="http://www.w3.org/2001/04/xmlenc#sha256"/>
        <DigestValue>PKvbYuXDtz2QckuDs7cNpUQNkkCqcuMyB+0oxE8UEtI=</DigestValue>
      </Reference>
      <Reference URI="/xl/printerSettings/printerSettings37.bin?ContentType=application/vnd.openxmlformats-officedocument.spreadsheetml.printerSettings">
        <DigestMethod Algorithm="http://www.w3.org/2001/04/xmlenc#sha256"/>
        <DigestValue>1/ZWSL2z/rx8MILo7VSKeZ2fxt90tdO1+d177mn/62I=</DigestValue>
      </Reference>
      <Reference URI="/xl/printerSettings/printerSettings38.bin?ContentType=application/vnd.openxmlformats-officedocument.spreadsheetml.printerSettings">
        <DigestMethod Algorithm="http://www.w3.org/2001/04/xmlenc#sha256"/>
        <DigestValue>uaG0dKgP9fdq5dc9SKOxsjO6aFrN5Az1VSB0/pJmHOY=</DigestValue>
      </Reference>
      <Reference URI="/xl/printerSettings/printerSettings39.bin?ContentType=application/vnd.openxmlformats-officedocument.spreadsheetml.printerSettings">
        <DigestMethod Algorithm="http://www.w3.org/2001/04/xmlenc#sha256"/>
        <DigestValue>1/ZWSL2z/rx8MILo7VSKeZ2fxt90tdO1+d177mn/62I=</DigestValue>
      </Reference>
      <Reference URI="/xl/printerSettings/printerSettings4.bin?ContentType=application/vnd.openxmlformats-officedocument.spreadsheetml.printerSettings">
        <DigestMethod Algorithm="http://www.w3.org/2001/04/xmlenc#sha256"/>
        <DigestValue>89nBNtWGa+e+nMBZt/vG241JYMcErfk0lLyizJbX5DQ=</DigestValue>
      </Reference>
      <Reference URI="/xl/printerSettings/printerSettings40.bin?ContentType=application/vnd.openxmlformats-officedocument.spreadsheetml.printerSettings">
        <DigestMethod Algorithm="http://www.w3.org/2001/04/xmlenc#sha256"/>
        <DigestValue>nJAHBoN2Wdd9B+xnkmN0ykoUgt2u5nrsxBIkEuDEWMI=</DigestValue>
      </Reference>
      <Reference URI="/xl/printerSettings/printerSettings41.bin?ContentType=application/vnd.openxmlformats-officedocument.spreadsheetml.printerSettings">
        <DigestMethod Algorithm="http://www.w3.org/2001/04/xmlenc#sha256"/>
        <DigestValue>zHpi8B/AzGRLezKgmRPAVYXkZ0umem7y+NaskYMBbNo=</DigestValue>
      </Reference>
      <Reference URI="/xl/printerSettings/printerSettings42.bin?ContentType=application/vnd.openxmlformats-officedocument.spreadsheetml.printerSettings">
        <DigestMethod Algorithm="http://www.w3.org/2001/04/xmlenc#sha256"/>
        <DigestValue>1/ZWSL2z/rx8MILo7VSKeZ2fxt90tdO1+d177mn/62I=</DigestValue>
      </Reference>
      <Reference URI="/xl/printerSettings/printerSettings43.bin?ContentType=application/vnd.openxmlformats-officedocument.spreadsheetml.printerSettings">
        <DigestMethod Algorithm="http://www.w3.org/2001/04/xmlenc#sha256"/>
        <DigestValue>zHpi8B/AzGRLezKgmRPAVYXkZ0umem7y+NaskYMBbNo=</DigestValue>
      </Reference>
      <Reference URI="/xl/printerSettings/printerSettings44.bin?ContentType=application/vnd.openxmlformats-officedocument.spreadsheetml.printerSettings">
        <DigestMethod Algorithm="http://www.w3.org/2001/04/xmlenc#sha256"/>
        <DigestValue>zHpi8B/AzGRLezKgmRPAVYXkZ0umem7y+NaskYMBbNo=</DigestValue>
      </Reference>
      <Reference URI="/xl/printerSettings/printerSettings45.bin?ContentType=application/vnd.openxmlformats-officedocument.spreadsheetml.printerSettings">
        <DigestMethod Algorithm="http://www.w3.org/2001/04/xmlenc#sha256"/>
        <DigestValue>PKvbYuXDtz2QckuDs7cNpUQNkkCqcuMyB+0oxE8UEtI=</DigestValue>
      </Reference>
      <Reference URI="/xl/printerSettings/printerSettings46.bin?ContentType=application/vnd.openxmlformats-officedocument.spreadsheetml.printerSettings">
        <DigestMethod Algorithm="http://www.w3.org/2001/04/xmlenc#sha256"/>
        <DigestValue>PKvbYuXDtz2QckuDs7cNpUQNkkCqcuMyB+0oxE8UEtI=</DigestValue>
      </Reference>
      <Reference URI="/xl/printerSettings/printerSettings5.bin?ContentType=application/vnd.openxmlformats-officedocument.spreadsheetml.printerSettings">
        <DigestMethod Algorithm="http://www.w3.org/2001/04/xmlenc#sha256"/>
        <DigestValue>SK3ve5YjWvCu/bPgXnCB+vXPOFLwdezqOIyUlNYX1Rs=</DigestValue>
      </Reference>
      <Reference URI="/xl/printerSettings/printerSettings6.bin?ContentType=application/vnd.openxmlformats-officedocument.spreadsheetml.printerSettings">
        <DigestMethod Algorithm="http://www.w3.org/2001/04/xmlenc#sha256"/>
        <DigestValue>ye0ygCp8mAHhrxXVqmrSxJPdXaRWG+7cYDv9YXcB6gc=</DigestValue>
      </Reference>
      <Reference URI="/xl/printerSettings/printerSettings7.bin?ContentType=application/vnd.openxmlformats-officedocument.spreadsheetml.printerSettings">
        <DigestMethod Algorithm="http://www.w3.org/2001/04/xmlenc#sha256"/>
        <DigestValue>eREZYrwMnkZvA29/8E4+7aeM8YqNhZtvIilWyIDfBbU=</DigestValue>
      </Reference>
      <Reference URI="/xl/printerSettings/printerSettings8.bin?ContentType=application/vnd.openxmlformats-officedocument.spreadsheetml.printerSettings">
        <DigestMethod Algorithm="http://www.w3.org/2001/04/xmlenc#sha256"/>
        <DigestValue>ye0ygCp8mAHhrxXVqmrSxJPdXaRWG+7cYDv9YXcB6gc=</DigestValue>
      </Reference>
      <Reference URI="/xl/printerSettings/printerSettings9.bin?ContentType=application/vnd.openxmlformats-officedocument.spreadsheetml.printerSettings">
        <DigestMethod Algorithm="http://www.w3.org/2001/04/xmlenc#sha256"/>
        <DigestValue>ye0ygCp8mAHhrxXVqmrSxJPdXaRWG+7cYDv9YXcB6gc=</DigestValue>
      </Reference>
      <Reference URI="/xl/sharedStrings.xml?ContentType=application/vnd.openxmlformats-officedocument.spreadsheetml.sharedStrings+xml">
        <DigestMethod Algorithm="http://www.w3.org/2001/04/xmlenc#sha256"/>
        <DigestValue>B1bZpjOBGENlWdWX2UMbYB2PpQYK2vFXnWQRur+zoPU=</DigestValue>
      </Reference>
      <Reference URI="/xl/styles.xml?ContentType=application/vnd.openxmlformats-officedocument.spreadsheetml.styles+xml">
        <DigestMethod Algorithm="http://www.w3.org/2001/04/xmlenc#sha256"/>
        <DigestValue>UR5/yYnoSV3ME6e901pEWZ8xoyW5mT2e2Jz6epQkBJo=</DigestValue>
      </Reference>
      <Reference URI="/xl/theme/theme1.xml?ContentType=application/vnd.openxmlformats-officedocument.theme+xml">
        <DigestMethod Algorithm="http://www.w3.org/2001/04/xmlenc#sha256"/>
        <DigestValue>9ZDC2JufYryaQksRfNXU723Z+OanJ/58pfsnHEq2DUE=</DigestValue>
      </Reference>
      <Reference URI="/xl/workbook.xml?ContentType=application/vnd.openxmlformats-officedocument.spreadsheetml.sheet.main+xml">
        <DigestMethod Algorithm="http://www.w3.org/2001/04/xmlenc#sha256"/>
        <DigestValue>rN6Ms0R2JZh/5uGW3D/Le9/dFVDmZUXSjGlF8lqzEms=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OG64TWTD7j+T6XEgwX6U1t2JQ9uBwF5JfRZ27xxpJ+w=</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aYXRgcDQ1Zc3QOfgyhqLIFev18/0l/S8gnTb1puzGIU=</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a44YNjtiym0S9exNLLrYg/u0IjW9EHsUCQlLPMlbO/o=</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HdiCc2p1UdKZddbHWP2HyFRaoEzeashVOh5eS2LOudg=</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7KnOMn7UlXli3Jy1eYmN5veK0HI9TOlohTDdyttJaLI=</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oCA/gRRRvc+jJc1iCaZLWrOziIRnDRXjxvYvv33q2GU=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w9kJgC3POm8IXkF8apaHYpiB7UgESnMvh8+REVGXmoc=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M1DPmTSPxL6pjK6Hlh39zRu5bD4dygfn4SBqudnogyE=</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aUH3EIC3LJ1WlPFqNXrO/jOyW/nktb+VO6C48U39/oI=</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k432tqojAmZglSJMpQHY06sOwkUHw93eXxXEqXwyorw=</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xwsv2H/gebHOpn0u17DPxoNhPhoF79jqTl8wgDpXcoc=</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tDoQKO/BkLp4kR3UztCc7PA22VmRNizbvJ+5Z2HWEFU=</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rLdvf3yY2ekrKu60idP2MsLKORy6SOjqi0FnsyMynGM=</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0k9F14bi/16tdQhj4IyNfKjYKY/Wxdjc6uOJZt2NSFQ=</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IgAbisjOm+Z/o4medQzuRzY+pxXjrkDU9o+AIfBQFik=</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k1lyfwqmmD/+IoVTg0kz9LzXUr1Uk3Si/nXVc+rnGMI=</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in1AbNBHz/S0qRwmZrYRmD6KDCBFiMU7ahORI/fscjY=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Cp9PA/EMUCmFN0rjs+ZKFhODDEGzJl8Ch1IdmuYTIUc=</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3iS29RgGizUTgmtBni8degzLfqWHy2uN4AVjRehr32M=</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nE0f+bF4IP96+tRIO9//VfSQTMl2/L1srvLlnHh7IeU=</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yLbFZOaatprfLLCZ68UZZxklXbzIrPkQXwNXZh1aUe4=</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I/R5yBYm6QMCUJuO8adD1NqOmD8fFhRangLh6nczLNQ=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2ftlSe7ENmwNdQ2MT4KexOA7ta+EHJXAokRQ/Sbe+To=</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0Bnugy7bzitJja739ggKaHQvkr3zKO9A9jpqBY3DiaI=</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82V9aXy3uiUF6h1goyLp993S42PSVT9uLFPxLc8qapo=</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1s/0Bn5zbBkiPy5hlL8rDE6/bmHjfNkm2MgsRuE+aR4=</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7/nemkTZSr1q715vAnYThMf5LzqTkmT+F+jq4QRqzpc=</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OwLohzYa4yen+N/yh2Zb+LLn80QJzm2nQIKSJKSFB/8=</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Y09xDoIGSmpx0MjWTeeEB8jIZEw0AQth19CsyTGwE8w=</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RofjFfDGEQEcA4cUnvodX7beZGieR+bW06/zJsc/T9U=</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1HjkxtgHDD2Y4CVW+ZVs76QTr049Upzf5O5AkLJUa4c=</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6Bbz0o48hzTUTtF6fo4ewGqu0GdHL0idXEEWlAzVmQ4=</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OsJnUIw8ZJm/JrtcL/mX12XnIt31BUOzLCNpse9AlCc=</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Jqu8TGjuincglhnXIRPw5rTdx9ds1e5FUfNPGK7lUxY=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FTLUZSzyPImP/h/5pTtmsiVav3XAxsSoaQXEM6xZNng=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eulYRWlfdY6JQDzO5q0VKDizVJzlUVk+OB91z40Pthc=</DigestValue>
      </Reference>
      <Reference URI="/xl/worksheets/sheet10.xml?ContentType=application/vnd.openxmlformats-officedocument.spreadsheetml.worksheet+xml">
        <DigestMethod Algorithm="http://www.w3.org/2001/04/xmlenc#sha256"/>
        <DigestValue>AIE9Lalx6Y4ebUi5fwWWxsNacrvlRXHgA2Ar20aJEe8=</DigestValue>
      </Reference>
      <Reference URI="/xl/worksheets/sheet11.xml?ContentType=application/vnd.openxmlformats-officedocument.spreadsheetml.worksheet+xml">
        <DigestMethod Algorithm="http://www.w3.org/2001/04/xmlenc#sha256"/>
        <DigestValue>CuDJZXk6/XBQ1lqj970pNbK2Q1byscVdW4t45woilW4=</DigestValue>
      </Reference>
      <Reference URI="/xl/worksheets/sheet12.xml?ContentType=application/vnd.openxmlformats-officedocument.spreadsheetml.worksheet+xml">
        <DigestMethod Algorithm="http://www.w3.org/2001/04/xmlenc#sha256"/>
        <DigestValue>Hvl/uayR/bEVInvVyD8SICQtSzvaC/OkuxdsCQYlWA4=</DigestValue>
      </Reference>
      <Reference URI="/xl/worksheets/sheet13.xml?ContentType=application/vnd.openxmlformats-officedocument.spreadsheetml.worksheet+xml">
        <DigestMethod Algorithm="http://www.w3.org/2001/04/xmlenc#sha256"/>
        <DigestValue>lRHRuiCXFHqCE0gj//m9MdLGI6zgfZSXvPoqsxTYlvQ=</DigestValue>
      </Reference>
      <Reference URI="/xl/worksheets/sheet14.xml?ContentType=application/vnd.openxmlformats-officedocument.spreadsheetml.worksheet+xml">
        <DigestMethod Algorithm="http://www.w3.org/2001/04/xmlenc#sha256"/>
        <DigestValue>NqergfGY08S5/dIu/cC8kRmFg/56AhfYwwbcF82fDyA=</DigestValue>
      </Reference>
      <Reference URI="/xl/worksheets/sheet15.xml?ContentType=application/vnd.openxmlformats-officedocument.spreadsheetml.worksheet+xml">
        <DigestMethod Algorithm="http://www.w3.org/2001/04/xmlenc#sha256"/>
        <DigestValue>xwo6wv4YuxbXuBDFy29E44NUjZHH71ugavQjnoWSSAo=</DigestValue>
      </Reference>
      <Reference URI="/xl/worksheets/sheet16.xml?ContentType=application/vnd.openxmlformats-officedocument.spreadsheetml.worksheet+xml">
        <DigestMethod Algorithm="http://www.w3.org/2001/04/xmlenc#sha256"/>
        <DigestValue>WZIgPu3yGpIXX7gHru0VvQLmpERpU0I0N8bUUxRd1Jc=</DigestValue>
      </Reference>
      <Reference URI="/xl/worksheets/sheet17.xml?ContentType=application/vnd.openxmlformats-officedocument.spreadsheetml.worksheet+xml">
        <DigestMethod Algorithm="http://www.w3.org/2001/04/xmlenc#sha256"/>
        <DigestValue>F7fXwSSdHtzB/v+8sdeSM/Aa2dxmftgDm3pQurCq3Ic=</DigestValue>
      </Reference>
      <Reference URI="/xl/worksheets/sheet18.xml?ContentType=application/vnd.openxmlformats-officedocument.spreadsheetml.worksheet+xml">
        <DigestMethod Algorithm="http://www.w3.org/2001/04/xmlenc#sha256"/>
        <DigestValue>omlPsMfD2qtyiWh3IZkgjY9bAooYUWGOrzhnGhzKAWc=</DigestValue>
      </Reference>
      <Reference URI="/xl/worksheets/sheet19.xml?ContentType=application/vnd.openxmlformats-officedocument.spreadsheetml.worksheet+xml">
        <DigestMethod Algorithm="http://www.w3.org/2001/04/xmlenc#sha256"/>
        <DigestValue>UWOc/phmKOa3xvS/TW0k6x2Ec8jaXocPlm92ijt+HiU=</DigestValue>
      </Reference>
      <Reference URI="/xl/worksheets/sheet2.xml?ContentType=application/vnd.openxmlformats-officedocument.spreadsheetml.worksheet+xml">
        <DigestMethod Algorithm="http://www.w3.org/2001/04/xmlenc#sha256"/>
        <DigestValue>MGlijvdnhc39Pvlkl5c6Nkwxn2XtKaMWvkzHNPlt82U=</DigestValue>
      </Reference>
      <Reference URI="/xl/worksheets/sheet20.xml?ContentType=application/vnd.openxmlformats-officedocument.spreadsheetml.worksheet+xml">
        <DigestMethod Algorithm="http://www.w3.org/2001/04/xmlenc#sha256"/>
        <DigestValue>UTwzTQxN8YOjCAswdZMJDM6oUd1rujjiqDhLsT1w0ME=</DigestValue>
      </Reference>
      <Reference URI="/xl/worksheets/sheet21.xml?ContentType=application/vnd.openxmlformats-officedocument.spreadsheetml.worksheet+xml">
        <DigestMethod Algorithm="http://www.w3.org/2001/04/xmlenc#sha256"/>
        <DigestValue>cOnPOmJ6K44GWZceadr/dEEvbw3HONesToJmtwQHMdk=</DigestValue>
      </Reference>
      <Reference URI="/xl/worksheets/sheet22.xml?ContentType=application/vnd.openxmlformats-officedocument.spreadsheetml.worksheet+xml">
        <DigestMethod Algorithm="http://www.w3.org/2001/04/xmlenc#sha256"/>
        <DigestValue>PE65N6vhlhOfEJle7XRp3hle7sKhyNL43tMy9AE8MRA=</DigestValue>
      </Reference>
      <Reference URI="/xl/worksheets/sheet23.xml?ContentType=application/vnd.openxmlformats-officedocument.spreadsheetml.worksheet+xml">
        <DigestMethod Algorithm="http://www.w3.org/2001/04/xmlenc#sha256"/>
        <DigestValue>87HWAcvX8rRC/Kzjxd8lFiqk0YvqWqarG82a0CbrvTI=</DigestValue>
      </Reference>
      <Reference URI="/xl/worksheets/sheet24.xml?ContentType=application/vnd.openxmlformats-officedocument.spreadsheetml.worksheet+xml">
        <DigestMethod Algorithm="http://www.w3.org/2001/04/xmlenc#sha256"/>
        <DigestValue>2F/pd03FbRsoE/+KPF6RneP8Ma4kKOwmrk15FBxU0kc=</DigestValue>
      </Reference>
      <Reference URI="/xl/worksheets/sheet25.xml?ContentType=application/vnd.openxmlformats-officedocument.spreadsheetml.worksheet+xml">
        <DigestMethod Algorithm="http://www.w3.org/2001/04/xmlenc#sha256"/>
        <DigestValue>YsHKIr2dBrV96KvQ04Jbtqo9tbhjLVgT4w8GED8Spl8=</DigestValue>
      </Reference>
      <Reference URI="/xl/worksheets/sheet26.xml?ContentType=application/vnd.openxmlformats-officedocument.spreadsheetml.worksheet+xml">
        <DigestMethod Algorithm="http://www.w3.org/2001/04/xmlenc#sha256"/>
        <DigestValue>WjKTCj/qPPzpVOqSsdfcvtSQycp2DsTG0/0yKzppztQ=</DigestValue>
      </Reference>
      <Reference URI="/xl/worksheets/sheet27.xml?ContentType=application/vnd.openxmlformats-officedocument.spreadsheetml.worksheet+xml">
        <DigestMethod Algorithm="http://www.w3.org/2001/04/xmlenc#sha256"/>
        <DigestValue>qASykL3bGlUWMx83Sf/k1lW59nsi3Yv3GmEOAgGQfZY=</DigestValue>
      </Reference>
      <Reference URI="/xl/worksheets/sheet28.xml?ContentType=application/vnd.openxmlformats-officedocument.spreadsheetml.worksheet+xml">
        <DigestMethod Algorithm="http://www.w3.org/2001/04/xmlenc#sha256"/>
        <DigestValue>0H/Ou850X2dN/zZwmTxEyz2zn/LZYqc6mNdNmjUlhG0=</DigestValue>
      </Reference>
      <Reference URI="/xl/worksheets/sheet29.xml?ContentType=application/vnd.openxmlformats-officedocument.spreadsheetml.worksheet+xml">
        <DigestMethod Algorithm="http://www.w3.org/2001/04/xmlenc#sha256"/>
        <DigestValue>A4IICHEHr/QM79ZcYg11p9uE0gYBZlhb6Q+THPOtT9A=</DigestValue>
      </Reference>
      <Reference URI="/xl/worksheets/sheet3.xml?ContentType=application/vnd.openxmlformats-officedocument.spreadsheetml.worksheet+xml">
        <DigestMethod Algorithm="http://www.w3.org/2001/04/xmlenc#sha256"/>
        <DigestValue>4Q0udzkgNXJsTJ56IAD6NWGyDz7NPy5ZEjEMzCXFNqA=</DigestValue>
      </Reference>
      <Reference URI="/xl/worksheets/sheet30.xml?ContentType=application/vnd.openxmlformats-officedocument.spreadsheetml.worksheet+xml">
        <DigestMethod Algorithm="http://www.w3.org/2001/04/xmlenc#sha256"/>
        <DigestValue>pbkk3SUqOi3sIQ6/rOLiVH6xG2DrUtXzS4IuxWC8QWs=</DigestValue>
      </Reference>
      <Reference URI="/xl/worksheets/sheet31.xml?ContentType=application/vnd.openxmlformats-officedocument.spreadsheetml.worksheet+xml">
        <DigestMethod Algorithm="http://www.w3.org/2001/04/xmlenc#sha256"/>
        <DigestValue>ngkite/ILMUk5AIVYzOV/XsCJhQ2U9w3D8cfAR4x1D8=</DigestValue>
      </Reference>
      <Reference URI="/xl/worksheets/sheet32.xml?ContentType=application/vnd.openxmlformats-officedocument.spreadsheetml.worksheet+xml">
        <DigestMethod Algorithm="http://www.w3.org/2001/04/xmlenc#sha256"/>
        <DigestValue>yqk47wmQnrsX+1h2Q8GsZE93h7IEClMzUJHDUhf4hfY=</DigestValue>
      </Reference>
      <Reference URI="/xl/worksheets/sheet33.xml?ContentType=application/vnd.openxmlformats-officedocument.spreadsheetml.worksheet+xml">
        <DigestMethod Algorithm="http://www.w3.org/2001/04/xmlenc#sha256"/>
        <DigestValue>/jVFQD1qG2N+lhorqWU7nl9v8bCsAisJ9Ac/gutdCpo=</DigestValue>
      </Reference>
      <Reference URI="/xl/worksheets/sheet34.xml?ContentType=application/vnd.openxmlformats-officedocument.spreadsheetml.worksheet+xml">
        <DigestMethod Algorithm="http://www.w3.org/2001/04/xmlenc#sha256"/>
        <DigestValue>+ffv7htiVUXUxbUQbM93Zeupg37xjLdr56EGAw3VUrA=</DigestValue>
      </Reference>
      <Reference URI="/xl/worksheets/sheet35.xml?ContentType=application/vnd.openxmlformats-officedocument.spreadsheetml.worksheet+xml">
        <DigestMethod Algorithm="http://www.w3.org/2001/04/xmlenc#sha256"/>
        <DigestValue>Ut89VO05itATvizdEH7BhhHEC+7QJ+dBJ9+6OuH69ho=</DigestValue>
      </Reference>
      <Reference URI="/xl/worksheets/sheet36.xml?ContentType=application/vnd.openxmlformats-officedocument.spreadsheetml.worksheet+xml">
        <DigestMethod Algorithm="http://www.w3.org/2001/04/xmlenc#sha256"/>
        <DigestValue>dA0mjxl3jU2/2APsZJXHF9UnqLhw+LJGj94vP7vJVYk=</DigestValue>
      </Reference>
      <Reference URI="/xl/worksheets/sheet37.xml?ContentType=application/vnd.openxmlformats-officedocument.spreadsheetml.worksheet+xml">
        <DigestMethod Algorithm="http://www.w3.org/2001/04/xmlenc#sha256"/>
        <DigestValue>9uxGy15Zr/KZtQduegUkqH+AD+J2by56lFqGCT6pUfg=</DigestValue>
      </Reference>
      <Reference URI="/xl/worksheets/sheet38.xml?ContentType=application/vnd.openxmlformats-officedocument.spreadsheetml.worksheet+xml">
        <DigestMethod Algorithm="http://www.w3.org/2001/04/xmlenc#sha256"/>
        <DigestValue>ACJsDNYI/LufmFIJ4ZqEROuZHyg82ITzjH/HEPDHoo8=</DigestValue>
      </Reference>
      <Reference URI="/xl/worksheets/sheet39.xml?ContentType=application/vnd.openxmlformats-officedocument.spreadsheetml.worksheet+xml">
        <DigestMethod Algorithm="http://www.w3.org/2001/04/xmlenc#sha256"/>
        <DigestValue>pSR+HvoetI1krVGImOpRhrBrPit/bNjGqLmkcTTSPj0=</DigestValue>
      </Reference>
      <Reference URI="/xl/worksheets/sheet4.xml?ContentType=application/vnd.openxmlformats-officedocument.spreadsheetml.worksheet+xml">
        <DigestMethod Algorithm="http://www.w3.org/2001/04/xmlenc#sha256"/>
        <DigestValue>10QfmcRVCa7enVoXzF3mlh5w4+X8MD7cMhIlrYBTzw8=</DigestValue>
      </Reference>
      <Reference URI="/xl/worksheets/sheet40.xml?ContentType=application/vnd.openxmlformats-officedocument.spreadsheetml.worksheet+xml">
        <DigestMethod Algorithm="http://www.w3.org/2001/04/xmlenc#sha256"/>
        <DigestValue>i11fiBBUbtxUl0YMCXIrpCzpsz64xbyv23djEXYLNFQ=</DigestValue>
      </Reference>
      <Reference URI="/xl/worksheets/sheet41.xml?ContentType=application/vnd.openxmlformats-officedocument.spreadsheetml.worksheet+xml">
        <DigestMethod Algorithm="http://www.w3.org/2001/04/xmlenc#sha256"/>
        <DigestValue>GVXdTe1+RzTJtEEJnd4k/BOxhOs1OKyofP5bxyqbL8s=</DigestValue>
      </Reference>
      <Reference URI="/xl/worksheets/sheet42.xml?ContentType=application/vnd.openxmlformats-officedocument.spreadsheetml.worksheet+xml">
        <DigestMethod Algorithm="http://www.w3.org/2001/04/xmlenc#sha256"/>
        <DigestValue>28O2bxI6iRWYo2yT2xXYuEZqBHlMulmx1p3vZp6Iaso=</DigestValue>
      </Reference>
      <Reference URI="/xl/worksheets/sheet43.xml?ContentType=application/vnd.openxmlformats-officedocument.spreadsheetml.worksheet+xml">
        <DigestMethod Algorithm="http://www.w3.org/2001/04/xmlenc#sha256"/>
        <DigestValue>SUeAfw9ZWAP0/4LG7SqThb9cydR+aGtUKQJHsyvt+4o=</DigestValue>
      </Reference>
      <Reference URI="/xl/worksheets/sheet44.xml?ContentType=application/vnd.openxmlformats-officedocument.spreadsheetml.worksheet+xml">
        <DigestMethod Algorithm="http://www.w3.org/2001/04/xmlenc#sha256"/>
        <DigestValue>Ls25i/vfGJ7zfoWK5qB25xgYGYmITTsIGI+wwljdYWo=</DigestValue>
      </Reference>
      <Reference URI="/xl/worksheets/sheet45.xml?ContentType=application/vnd.openxmlformats-officedocument.spreadsheetml.worksheet+xml">
        <DigestMethod Algorithm="http://www.w3.org/2001/04/xmlenc#sha256"/>
        <DigestValue>Yv6JRFRrE63bK+AY1ZOAVR2mACHl5P4bLA5aW2WwkSA=</DigestValue>
      </Reference>
      <Reference URI="/xl/worksheets/sheet46.xml?ContentType=application/vnd.openxmlformats-officedocument.spreadsheetml.worksheet+xml">
        <DigestMethod Algorithm="http://www.w3.org/2001/04/xmlenc#sha256"/>
        <DigestValue>2bseKnx2EWcIVLNyVJm7YqP95RDhQdJZqyFwM6N7xNE=</DigestValue>
      </Reference>
      <Reference URI="/xl/worksheets/sheet5.xml?ContentType=application/vnd.openxmlformats-officedocument.spreadsheetml.worksheet+xml">
        <DigestMethod Algorithm="http://www.w3.org/2001/04/xmlenc#sha256"/>
        <DigestValue>lxzQX+s7Hxaqq3w3c6oJgA1JJAqkYAJl2KJN/LhQbvk=</DigestValue>
      </Reference>
      <Reference URI="/xl/worksheets/sheet6.xml?ContentType=application/vnd.openxmlformats-officedocument.spreadsheetml.worksheet+xml">
        <DigestMethod Algorithm="http://www.w3.org/2001/04/xmlenc#sha256"/>
        <DigestValue>fCJ0zFiEHiOBxPSjwl5mMaDPUQtqC0nWCO+1NloWnRo=</DigestValue>
      </Reference>
      <Reference URI="/xl/worksheets/sheet7.xml?ContentType=application/vnd.openxmlformats-officedocument.spreadsheetml.worksheet+xml">
        <DigestMethod Algorithm="http://www.w3.org/2001/04/xmlenc#sha256"/>
        <DigestValue>snW1icKydvJ8H9ZQGvVYMM3Z3pexWFCaf4mCw+NhJk4=</DigestValue>
      </Reference>
      <Reference URI="/xl/worksheets/sheet8.xml?ContentType=application/vnd.openxmlformats-officedocument.spreadsheetml.worksheet+xml">
        <DigestMethod Algorithm="http://www.w3.org/2001/04/xmlenc#sha256"/>
        <DigestValue>9iBPpvYs4XqKQPfZxJPyPgaSPDk0L0LayREllbCwqFA=</DigestValue>
      </Reference>
      <Reference URI="/xl/worksheets/sheet9.xml?ContentType=application/vnd.openxmlformats-officedocument.spreadsheetml.worksheet+xml">
        <DigestMethod Algorithm="http://www.w3.org/2001/04/xmlenc#sha256"/>
        <DigestValue>o2si30x2X+LYLNamB6ljcFjKfnxKfoKrAGw++qdlzSA=</DigestValue>
      </Reference>
    </Manifest>
    <SignatureProperties>
      <SignatureProperty Id="idSignatureTime" Target="#idPackageSignature">
        <mdssi:SignatureTime xmlns:mdssi="http://schemas.openxmlformats.org/package/2006/digital-signature">
          <mdssi:Format>YYYY-MM-DDThh:mm:ssTZD</mdssi:Format>
          <mdssi:Value>2025-03-26T13:07:15Z</mdssi:Value>
        </mdssi:SignatureTime>
      </SignatureProperty>
    </SignatureProperties>
  </Object>
  <Object Id="idOfficeObject">
    <SignatureProperties>
      <SignatureProperty Id="idOfficeV1Details" Target="#idPackageSignature">
        <SignatureInfoV1 xmlns="http://schemas.microsoft.com/office/2006/digsig">
          <SetupID>{79FA6598-360C-4017-831B-979139BBAC3E}</SetupID>
          <SignatureText>Ing. Guillermo Leoz</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2025-03-26T13:07:15Z</xd:SigningTime>
          <xd:SigningCertificate>
            <xd:Cert>
              <xd:CertDigest>
                <DigestMethod Algorithm="http://www.w3.org/2001/04/xmlenc#sha256"/>
                <DigestValue>xbWRdH0WS94sFlb/JueU4wnYdlPzfr92Z1G7GUIv3BE=</DigestValue>
              </xd:CertDigest>
              <xd:IssuerSerial>
                <X509IssuerName>C=PY, O=DOCUMENTA S.A., SERIALNUMBER=RUC80050172-1, CN=CA-DOCUMENTA S.A.</X509IssuerName>
                <X509SerialNumber>3896493338824684465</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vGQAAkQwAACBFTUYAAAEAlBs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gA2AC8AMwAvADIAMAAyADUAfro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26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AAAABHAAAAKQAAADMAAACI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LEAAABIAAAAJQAAAAwAAAAEAAAAVAAAAMAAAAAqAAAAMwAAAK8AAABHAAAAAQAAANF2yUGrCslBKgAAADMAAAATAAAATAAAAAAAAAAAAAAAAAAAAP//////////dAAAAEkAbgBnAC4AIABHAHUAaQBsAGwAZQByAG0AbwAgAEwAZQBvAHoAeboEAAAACQAAAAkAAAADAAAABAAAAAsAAAAJAAAABAAAAAQAAAAEAAAACAAAAAYAAAAOAAAACQAAAAQAAAAIAAAACAAAAAkAAAAH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MAAAAAKAAAAUAAAAGwAAABcAAAAAQAAANF2yUGrCslBCgAAAFAAAAATAAAATAAAAAAAAAAAAAAAAAAAAP//////////dAAAAEkAbgBnAC4AIABHAHUAaQBsAGwAZQByAG0AbwAgAEwAZQBvAHoAAAADAAAABwAAAAcAAAADAAAAAwAAAAgAAAAHAAAAAwAAAAMAAAADAAAABgAAAAQAAAAJAAAABwAAAAMAAAAFAAAABgAAAAcAAAAF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eAAAAAoAAABgAAAALwAAAGwAAAABAAAA0XbJQasKyUEKAAAAYAAAAAcAAABMAAAAAAAAAAAAAAAAAAAA//////////9cAAAAUwDtAG4AZABpAGMAbwCDugYAAAADAAAABwAAAAcAAAADAAAABQAAAAcAAABLAAAAQAAAADAAAAAFAAAAIAAAAAEAAAABAAAAEAAAAAAAAAAAAAAAAAEAAIAAAAAAAAAAAAAAAAABAACAAAAAJQAAAAwAAAACAAAAJwAAABgAAAAFAAAAAAAAAP///wAAAAAAJQAAAAwAAAAFAAAATAAAAGQAAAAJAAAAcAAAAMcAAAB8AAAACQAAAHAAAAC/AAAADQAAACEA8AAAAAAAAAAAAAAAgD8AAAAAAAAAAAAAgD8AAAAAAAAAAAAAAAAAAAAAAAAAAAAAAAAAAAAAAAAAACUAAAAMAAAAAAAAgCgAAAAMAAAABQAAACUAAAAMAAAAAQAAABgAAAAMAAAAAAAAABIAAAAMAAAAAQAAABYAAAAMAAAAAAAAAFQAAAAMAQAACgAAAHAAAADGAAAAfAAAAAEAAADRdslBqwrJQQoAAABwAAAAIAAAAEwAAAAEAAAACQAAAHAAAADIAAAAfQAAAIwAAABGAGkAcgBtAGEAZABvACAAcABvAHIAOgAgAEcAVQBJAEwATABFAFIATQBPACAATABFAE8AWgAgAFAAQQBOAEUABgAAAAMAAAAEAAAACQAAAAYAAAAHAAAABwAAAAMAAAAHAAAABwAAAAQAAAADAAAAAwAAAAgAAAAIAAAAAwAAAAUAAAAFAAAABgAAAAcAAAAKAAAACQAAAAMAAAAFAAAABgAAAAkAAAAGAAAAAwAAAAYAAAAHAAAACAAAAAYAAAAWAAAADAAAAAAAAAAlAAAADAAAAAIAAAAOAAAAFAAAAAAAAAAQAAAAFAAAAA==</Object>
  <Object Id="idInvalidSigLnImg">AQAAAGwAAAAAAAAAAAAAAP8AAAB/AAAAAAAAAAAAAAAvGQAAkQwAACBFTUYAAAEABCEAALE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0XbJQasKyUEjAAAABAAAAA8AAABMAAAAAAAAAAAAAAAAAAAA//////////9sAAAARgBpAHIAbQBhACAAbgBvACAAdgDhAGwAaQBkAGEAMro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IC6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AAAABHAAAAKQAAADMAAACI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LEAAABIAAAAJQAAAAwAAAAEAAAAVAAAAMAAAAAqAAAAMwAAAK8AAABHAAAAAQAAANF2yUGrCslBKgAAADMAAAATAAAATAAAAAAAAAAAAAAAAAAAAP//////////dAAAAEkAbgBnAC4AIABHAHUAaQBsAGwAZQByAG0AbwAgAEwAZQBvAHoADboEAAAACQAAAAkAAAADAAAABAAAAAsAAAAJAAAABAAAAAQAAAAEAAAACAAAAAYAAAAOAAAACQAAAAQAAAAIAAAACAAAAAkAAAAH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MAAAAAKAAAAUAAAAGwAAABcAAAAAQAAANF2yUGrCslBCgAAAFAAAAATAAAATAAAAAAAAAAAAAAAAAAAAP//////////dAAAAEkAbgBnAC4AIABHAHUAaQBsAGwAZQByAG0AbwAgAEwAZQBvAHoAAAADAAAABwAAAAcAAAADAAAAAwAAAAgAAAAHAAAAAwAAAAMAAAADAAAABgAAAAQAAAAJAAAABwAAAAMAAAAFAAAABgAAAAcAAAAF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eAAAAAoAAABgAAAALwAAAGwAAAABAAAA0XbJQasKyUEKAAAAYAAAAAcAAABMAAAAAAAAAAAAAAAAAAAA//////////9cAAAAUwDtAG4AZABpAGMAbwA4ugYAAAADAAAABwAAAAcAAAADAAAABQAAAAcAAABLAAAAQAAAADAAAAAFAAAAIAAAAAEAAAABAAAAEAAAAAAAAAAAAAAAAAEAAIAAAAAAAAAAAAAAAAABAACAAAAAJQAAAAwAAAACAAAAJwAAABgAAAAFAAAAAAAAAP///wAAAAAAJQAAAAwAAAAFAAAATAAAAGQAAAAJAAAAcAAAAMcAAAB8AAAACQAAAHAAAAC/AAAADQAAACEA8AAAAAAAAAAAAAAAgD8AAAAAAAAAAAAAgD8AAAAAAAAAAAAAAAAAAAAAAAAAAAAAAAAAAAAAAAAAACUAAAAMAAAAAAAAgCgAAAAMAAAABQAAACUAAAAMAAAAAQAAABgAAAAMAAAAAAAAABIAAAAMAAAAAQAAABYAAAAMAAAAAAAAAFQAAAAMAQAACgAAAHAAAADGAAAAfAAAAAEAAADRdslBqwrJQQoAAABwAAAAIAAAAEwAAAAEAAAACQAAAHAAAADIAAAAfQAAAIwAAABGAGkAcgBtAGEAZABvACAAcABvAHIAOgAgAEcAVQBJAEwATABFAFIATQBPACAATABFAE8AWgAgAFAAQQBOAEUABgAAAAMAAAAEAAAACQAAAAYAAAAHAAAABwAAAAMAAAAHAAAABwAAAAQAAAADAAAAAwAAAAgAAAAIAAAAAwAAAAUAAAAFAAAABgAAAAcAAAAKAAAACQAAAAMAAAAFAAAABgAAAAkAAAAGAAAAAwAAAAYAAAAHAAAACAAAAAYAAAAWAAAADAAAAAAAAAAlAAAADAAAAAIAAAAOAAAAFAAAAAAAAAAQAAAAFA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7FmQg0uLJd9i9tpmMttdmwCdcjPtBSsIiT772ZqNQ+0=</DigestValue>
    </Reference>
    <Reference Type="http://www.w3.org/2000/09/xmldsig#Object" URI="#idOfficeObject">
      <DigestMethod Algorithm="http://www.w3.org/2001/04/xmlenc#sha256"/>
      <DigestValue>xsSFlWBJ/5KFTpsdqtIEoz1zDMdyci2mi2mMpH3HROs=</DigestValue>
    </Reference>
    <Reference Type="http://uri.etsi.org/01903#SignedProperties" URI="#idSignedProperties">
      <Transforms>
        <Transform Algorithm="http://www.w3.org/TR/2001/REC-xml-c14n-20010315"/>
      </Transforms>
      <DigestMethod Algorithm="http://www.w3.org/2001/04/xmlenc#sha256"/>
      <DigestValue>GYGTU+O0FBSp0M+pjByG+VprJN/WUufj+pqyWSrKvas=</DigestValue>
    </Reference>
    <Reference Type="http://www.w3.org/2000/09/xmldsig#Object" URI="#idValidSigLnImg">
      <DigestMethod Algorithm="http://www.w3.org/2001/04/xmlenc#sha256"/>
      <DigestValue>Ua7gCqTBcltBF+OqqAz7lLcAYcD+1sAyxojCykrN36c=</DigestValue>
    </Reference>
    <Reference Type="http://www.w3.org/2000/09/xmldsig#Object" URI="#idInvalidSigLnImg">
      <DigestMethod Algorithm="http://www.w3.org/2001/04/xmlenc#sha256"/>
      <DigestValue>CV40zhRXP8aVlzsNiZYgXAUwS/uJ91cPQyekRw6O9Cs=</DigestValue>
    </Reference>
  </SignedInfo>
  <SignatureValue>vuj2eGX5TLagD/n+2qXmyx2uvoZSk9nDneyOWDPu9p9R9zNHSlOcXfo/sb5RXXUSlevPrplr/6cG
YOG743T+puFQqpCueqPvHGLaRHj822IpUN/MCVMrixwDhrmEEJ3OuCIN8fKS97kEoS0n5A/gGyLb
JR8GT5aQ2SiB0decrwbzMGD9fCw+Laga447T19+R6zUh9/qYQfN1UBMkJWAw9bPsdU/dza+gcoMf
cxejVSaQCPfJbXCxzV2/1sjifthfNb9lGcXVGF1EAQGPcTztcTu8JWkDqS0Mf3COCev7H92L2Tbv
lBfqK7IkdRIsDc/4hY5dKTFBMwcsV7akrzmBmg==</SignatureValue>
  <KeyInfo>
    <X509Data>
      <X509Certificate>MIIIkjCCBnqgAwIBAgIIFNK1dXkyB9AwDQYJKoZIhvcNAQELBQAwWjEaMBgGA1UEAwwRQ0EtRE9DVU1FTlRBIFMuQS4xFjAUBgNVBAUTDVJVQzgwMDUwMTcyLTExFzAVBgNVBAoMDkRPQ1VNRU5UQSBTLkEuMQswCQYDVQQGEwJQWTAeFw0yNDEyMjQxMzExMDBaFw0yNjEyMjQxMzExMDBaMIHEMSkwJwYDVQQDDCBBTEJFUlRPIENBWUVUQU5PIFNBTExVU1RSTyBNQVJJTjERMA8GA1UEBRMIQ0k0NDE3MDExGTAXBgNVBCoMEEFMQkVSVE8gQ0FZRVRBTk8xGDAWBgNVBAQMD1NBTExVU1RSTyBNQVJJTjELMAkGA1UECwwCRjIxNTAzBgNVBAoMLENFUlRJRklDQURPIENVQUxJRklDQURPIERFIEZJUk1BIEVMRUNUUk9OSUNBMQswCQYDVQQGEwJQWTCCASIwDQYJKoZIhvcNAQEBBQADggEPADCCAQoCggEBAOC6D/8CluLElAKzDaCuKKi7EUcAB4qwfQXNLSDPKTuxv+ebvpgoEwXjygiCt9neohgEFkT7JcOyu+kGZ93U7TXT9dHHJJopmBCbTSRZGq1cIU3bxsy9IVrF5P1Mb48lMSM4MwlYiMAUBV2JdTh5cL6NqCtFnbdMgIw4VsntehhsWAO9UQyQQKcI+IMiibHvNFM+C84sqHoIuTepdVBli8XZLKm9XkX8jpRixo97hsulWpKrAPD2eQUO8Im7QyMBFRYNEn46HOMRFkughHI98qZtnxsyO5f8Ow4tjrD4Cf3flMN5HSxfAD6oejgIQuOsyYZ5VIQFE9dSsAEDaP9fgHsCAwEAAaOCA+8wggPrMAwGA1UdEwEB/wQCMAAwHwYDVR0jBBgwFoAUoT2FK83YLJYfOQIMn1M7WNiVC3swgZQGCCsGAQUFBwEBBIGHMIGEMFUGCCsGAQUFBzAChklodHRwczovL3d3dy5kaWdpdG8uY29tLnB5L3VwbG9hZHMvY2VydGlmaWNhZG8tZG9jdW1lbnRhLXNhLTE1MzUxMTc3NzEuY3J0MCsGCCsGAQUFBzABhh9odHRwczovL3d3dy5kaWdpdG8uY29tLnB5L29jc3AvMFIGA1UdEQRLMEmBG2FzYWxsdXN0cm9Ac2FsbHVzdHJv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Eq547avXEzPyaUm4ksvcgaJnYleMA4GA1UdDwEB/wQEAwIF4DANBgkqhkiG9w0BAQsFAAOCAgEAegCo7htvGSNNrCR6I6zQ/dLykFwl2QJ1D182FMpFxEuI1VFiQ3Qcdvn3lAKO2gcNEYPpEiypmf8oh01U/OJwQvj+kDQdbiLQoEU86uIRbnR6Qd0Ev8yyYU5EEF/siKUtpkDMy6N2ZUeb95R4NYxpy9uGorPthB3xqP3uYprmbxq54BoRRzmOQAq9/o3KzracFnjxlw0SksO3FsQBYwTPD8FtMTlHdv94KbROsssUvSKr+X6If6vlemFbpzhl/5SCT7mvLmJnh43+sLVHGy2TAGvdPiMFmB00CFIwp2LmwUM/NjaGRwSgWqxkRRnKKW/1tEM4Fgita+IGe8Z0z44bDzXIchgC2QaSyrr6hjweLxp0QsBMM0wpu9Vu98q3L99Fyb9X7n/xYLugTJzCwrGb4FUOHhFfm+dis6KZmm3vjEny2wZko3IpTNTFatALzQURWeeDRbtOOr5GNQVbegPBPgRof366ggNygbBVXRu7a7ehaL2+DR6ujrDDeZ/MnwURfZwF5evRwS/Ubm1kfHhjfCsrr5pdquqlv7NIJkk6AZHJZMC4ZY8DZAvp3d769RRJCXGe8ddHEl/l1ZS/9TorN3xJ3likJoDxF2eoeb69iKGhRZUP5isxE+TxpqSy12d2+utnOD1yeEuYs8LVn3s3WpC3QWHxx6AEDV1aZZr1M3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Transform>
          <Transform Algorithm="http://www.w3.org/TR/2001/REC-xml-c14n-20010315"/>
        </Transforms>
        <DigestMethod Algorithm="http://www.w3.org/2001/04/xmlenc#sha256"/>
        <DigestValue>X0zay39lAcy+joH66+NIv7xgenr+10RaM/eMl+BRvHQ=</DigestValue>
      </Reference>
      <Reference URI="/xl/calcChain.xml?ContentType=application/vnd.openxmlformats-officedocument.spreadsheetml.calcChain+xml">
        <DigestMethod Algorithm="http://www.w3.org/2001/04/xmlenc#sha256"/>
        <DigestValue>fbCCk27TLgesV8Jumswwms/ScvHFBkXBn/G77sxlFFA=</DigestValue>
      </Reference>
      <Reference URI="/xl/comments1.xml?ContentType=application/vnd.openxmlformats-officedocument.spreadsheetml.comments+xml">
        <DigestMethod Algorithm="http://www.w3.org/2001/04/xmlenc#sha256"/>
        <DigestValue>qnLCTzD69tBaj2Lsg6Jm3UbqVYuybhe9x6YPjSqAndM=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VB1yhbw7Gmyj1OTWV/qPomHE5sCDThzc5tVRBFnHCxE=</DigestValue>
      </Reference>
      <Reference URI="/xl/drawings/drawing10.xml?ContentType=application/vnd.openxmlformats-officedocument.drawing+xml">
        <DigestMethod Algorithm="http://www.w3.org/2001/04/xmlenc#sha256"/>
        <DigestValue>M4oiLfApTm1N39o9afLSU//tktDlGcZRNaMQ/vN4EGc=</DigestValue>
      </Reference>
      <Reference URI="/xl/drawings/drawing11.xml?ContentType=application/vnd.openxmlformats-officedocument.drawing+xml">
        <DigestMethod Algorithm="http://www.w3.org/2001/04/xmlenc#sha256"/>
        <DigestValue>prfPEyJG3DtmgObLtakRyZJuZNJJLeFlG/6ahj0ufPc=</DigestValue>
      </Reference>
      <Reference URI="/xl/drawings/drawing12.xml?ContentType=application/vnd.openxmlformats-officedocument.drawing+xml">
        <DigestMethod Algorithm="http://www.w3.org/2001/04/xmlenc#sha256"/>
        <DigestValue>ElgOjqForbR9Jj7Zt7qGVL3cWmvs3VwTTyNJTTulAS4=</DigestValue>
      </Reference>
      <Reference URI="/xl/drawings/drawing13.xml?ContentType=application/vnd.openxmlformats-officedocument.drawing+xml">
        <DigestMethod Algorithm="http://www.w3.org/2001/04/xmlenc#sha256"/>
        <DigestValue>VtWEA9TwWheIRgVchVvI6CM7SMKzhtSy2k7QgLYvoTk=</DigestValue>
      </Reference>
      <Reference URI="/xl/drawings/drawing14.xml?ContentType=application/vnd.openxmlformats-officedocument.drawing+xml">
        <DigestMethod Algorithm="http://www.w3.org/2001/04/xmlenc#sha256"/>
        <DigestValue>o4vWr+q2RW9iQTFwwUiTJ0ubucBXzo26t4yUVCKXwXM=</DigestValue>
      </Reference>
      <Reference URI="/xl/drawings/drawing15.xml?ContentType=application/vnd.openxmlformats-officedocument.drawing+xml">
        <DigestMethod Algorithm="http://www.w3.org/2001/04/xmlenc#sha256"/>
        <DigestValue>056Dhz2Aew7MpdfRQvHak4DXlXgi5aFByk7qUF4wJYA=</DigestValue>
      </Reference>
      <Reference URI="/xl/drawings/drawing16.xml?ContentType=application/vnd.openxmlformats-officedocument.drawing+xml">
        <DigestMethod Algorithm="http://www.w3.org/2001/04/xmlenc#sha256"/>
        <DigestValue>zMHuH22+oCni68SSFUYxYmhKueZXWEMG9do+MC0Eo1g=</DigestValue>
      </Reference>
      <Reference URI="/xl/drawings/drawing17.xml?ContentType=application/vnd.openxmlformats-officedocument.drawing+xml">
        <DigestMethod Algorithm="http://www.w3.org/2001/04/xmlenc#sha256"/>
        <DigestValue>9nqJZgfEyar5HjT2Y7nLsiKYudRvQuq6MgfR24amcuk=</DigestValue>
      </Reference>
      <Reference URI="/xl/drawings/drawing18.xml?ContentType=application/vnd.openxmlformats-officedocument.drawing+xml">
        <DigestMethod Algorithm="http://www.w3.org/2001/04/xmlenc#sha256"/>
        <DigestValue>Q2D78Vy8lMSm22nVXp0zSxhBv0lKK2CUlReZQWhzTqM=</DigestValue>
      </Reference>
      <Reference URI="/xl/drawings/drawing2.xml?ContentType=application/vnd.openxmlformats-officedocument.drawing+xml">
        <DigestMethod Algorithm="http://www.w3.org/2001/04/xmlenc#sha256"/>
        <DigestValue>ZkWAY+GEMZkQJlkThNu9CweLsQpYXIdo6nKP0k+dgfw=</DigestValue>
      </Reference>
      <Reference URI="/xl/drawings/drawing3.xml?ContentType=application/vnd.openxmlformats-officedocument.drawing+xml">
        <DigestMethod Algorithm="http://www.w3.org/2001/04/xmlenc#sha256"/>
        <DigestValue>lo5MvWBofZh/a6jv4sAOMgYTu0NdSALZKz25w3P2fkA=</DigestValue>
      </Reference>
      <Reference URI="/xl/drawings/drawing4.xml?ContentType=application/vnd.openxmlformats-officedocument.drawing+xml">
        <DigestMethod Algorithm="http://www.w3.org/2001/04/xmlenc#sha256"/>
        <DigestValue>U8IihizxGs5Wi6xVpShZRXzN2wQW5UlvtawGGRJr2Mw=</DigestValue>
      </Reference>
      <Reference URI="/xl/drawings/drawing5.xml?ContentType=application/vnd.openxmlformats-officedocument.drawing+xml">
        <DigestMethod Algorithm="http://www.w3.org/2001/04/xmlenc#sha256"/>
        <DigestValue>b3O2jx+fjvCMHMwUtwzFIT18QT5gCrFER0iF62SEaRM=</DigestValue>
      </Reference>
      <Reference URI="/xl/drawings/drawing6.xml?ContentType=application/vnd.openxmlformats-officedocument.drawing+xml">
        <DigestMethod Algorithm="http://www.w3.org/2001/04/xmlenc#sha256"/>
        <DigestValue>kBHwS31qQkQKv4z/0liQa0YoIfr1OJbuoxnr4u+SQDc=</DigestValue>
      </Reference>
      <Reference URI="/xl/drawings/drawing7.xml?ContentType=application/vnd.openxmlformats-officedocument.drawing+xml">
        <DigestMethod Algorithm="http://www.w3.org/2001/04/xmlenc#sha256"/>
        <DigestValue>NRydziRWBJXYM+eP3/wYTG0RDyHW1uHj5g1aNMFMP/4=</DigestValue>
      </Reference>
      <Reference URI="/xl/drawings/drawing8.xml?ContentType=application/vnd.openxmlformats-officedocument.drawing+xml">
        <DigestMethod Algorithm="http://www.w3.org/2001/04/xmlenc#sha256"/>
        <DigestValue>rmt1Fqnn7+mfWClI9pVSbi7fyb1z6bNHWQ6w4hUSaRI=</DigestValue>
      </Reference>
      <Reference URI="/xl/drawings/drawing9.xml?ContentType=application/vnd.openxmlformats-officedocument.drawing+xml">
        <DigestMethod Algorithm="http://www.w3.org/2001/04/xmlenc#sha256"/>
        <DigestValue>5zIsuhnzxAAQTb3ay+MBMmh3WQ6SRjJpYK0mvA3naBo=</DigestValue>
      </Reference>
      <Reference URI="/xl/drawings/vmlDrawing1.vml?ContentType=application/vnd.openxmlformats-officedocument.vmlDrawing">
        <DigestMethod Algorithm="http://www.w3.org/2001/04/xmlenc#sha256"/>
        <DigestValue>1Cv4jLy4lSkORB0ljCO0LlC2jTyEYkjoHJbzNB7k2FU=</DigestValue>
      </Reference>
      <Reference URI="/xl/drawings/vmlDrawing2.vml?ContentType=application/vnd.openxmlformats-officedocument.vmlDrawing">
        <DigestMethod Algorithm="http://www.w3.org/2001/04/xmlenc#sha256"/>
        <DigestValue>kZ2At4ohWjbRf1rwdOAhOXoDLmn46JzALr7IZgjWgtQ=</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h9fJY+lBcUFThe4N+TRU6csYQxyixPEAdH89DalYVpk=</DigestValue>
      </Reference>
      <Reference URI="/xl/externalLinks/externalLink1.xml?ContentType=application/vnd.openxmlformats-officedocument.spreadsheetml.externalLink+xml">
        <DigestMethod Algorithm="http://www.w3.org/2001/04/xmlenc#sha256"/>
        <DigestValue>XNhm+qnDqnrk+TkzUVbZvcgQZgfRgS3WiG1HUvsIoYw=</DigestValue>
      </Reference>
      <Reference URI="/xl/media/image1.png?ContentType=image/png">
        <DigestMethod Algorithm="http://www.w3.org/2001/04/xmlenc#sha256"/>
        <DigestValue>K2NW93tqc6EY2IgJTscfZeNC2EdRt9B2kLaU83bJs38=</DigestValue>
      </Reference>
      <Reference URI="/xl/media/image2.emf?ContentType=image/x-emf">
        <DigestMethod Algorithm="http://www.w3.org/2001/04/xmlenc#sha256"/>
        <DigestValue>/v+grmhFBfBgTfoIMzcBl8wLcdRqv+hiYpfqxSdilfU=</DigestValue>
      </Reference>
      <Reference URI="/xl/media/image3.emf?ContentType=image/x-emf">
        <DigestMethod Algorithm="http://www.w3.org/2001/04/xmlenc#sha256"/>
        <DigestValue>yOWUxYJKNMcN7T+amw2f7y9Spnf600L9CCUGUvP+L64=</DigestValue>
      </Reference>
      <Reference URI="/xl/media/image4.emf?ContentType=image/x-emf">
        <DigestMethod Algorithm="http://www.w3.org/2001/04/xmlenc#sha256"/>
        <DigestValue>PmawVfOdCR9JMs4vXg4Qh204dXSfD6x7RaDJaBef41M=</DigestValue>
      </Reference>
      <Reference URI="/xl/media/image5.emf?ContentType=image/x-emf">
        <DigestMethod Algorithm="http://www.w3.org/2001/04/xmlenc#sha256"/>
        <DigestValue>VYTNltr8I9MMEGNv/BDlf4Kk7yMiUNtVWiU8HKGHXWY=</DigestValue>
      </Reference>
      <Reference URI="/xl/media/image6.emf?ContentType=image/x-emf">
        <DigestMethod Algorithm="http://www.w3.org/2001/04/xmlenc#sha256"/>
        <DigestValue>5xjYICeEbpj4VPj/MJE2dSURUuioSFM7/uxzYiBM5Cw=</DigestValue>
      </Reference>
      <Reference URI="/xl/media/image7.png?ContentType=image/png">
        <DigestMethod Algorithm="http://www.w3.org/2001/04/xmlenc#sha256"/>
        <DigestValue>nnykxL6sHYwxaEYN4bNnKlAbSJy2p6Du/3yKaO3Lq0U=</DigestValue>
      </Reference>
      <Reference URI="/xl/printerSettings/printerSettings1.bin?ContentType=application/vnd.openxmlformats-officedocument.spreadsheetml.printerSettings">
        <DigestMethod Algorithm="http://www.w3.org/2001/04/xmlenc#sha256"/>
        <DigestValue>nJAHBoN2Wdd9B+xnkmN0ykoUgt2u5nrsxBIkEuDEWMI=</DigestValue>
      </Reference>
      <Reference URI="/xl/printerSettings/printerSettings10.bin?ContentType=application/vnd.openxmlformats-officedocument.spreadsheetml.printerSettings">
        <DigestMethod Algorithm="http://www.w3.org/2001/04/xmlenc#sha256"/>
        <DigestValue>ye0ygCp8mAHhrxXVqmrSxJPdXaRWG+7cYDv9YXcB6gc=</DigestValue>
      </Reference>
      <Reference URI="/xl/printerSettings/printerSettings11.bin?ContentType=application/vnd.openxmlformats-officedocument.spreadsheetml.printerSettings">
        <DigestMethod Algorithm="http://www.w3.org/2001/04/xmlenc#sha256"/>
        <DigestValue>ye0ygCp8mAHhrxXVqmrSxJPdXaRWG+7cYDv9YXcB6gc=</DigestValue>
      </Reference>
      <Reference URI="/xl/printerSettings/printerSettings12.bin?ContentType=application/vnd.openxmlformats-officedocument.spreadsheetml.printerSettings">
        <DigestMethod Algorithm="http://www.w3.org/2001/04/xmlenc#sha256"/>
        <DigestValue>1/ZWSL2z/rx8MILo7VSKeZ2fxt90tdO1+d177mn/62I=</DigestValue>
      </Reference>
      <Reference URI="/xl/printerSettings/printerSettings13.bin?ContentType=application/vnd.openxmlformats-officedocument.spreadsheetml.printerSettings">
        <DigestMethod Algorithm="http://www.w3.org/2001/04/xmlenc#sha256"/>
        <DigestValue>89nBNtWGa+e+nMBZt/vG241JYMcErfk0lLyizJbX5DQ=</DigestValue>
      </Reference>
      <Reference URI="/xl/printerSettings/printerSettings14.bin?ContentType=application/vnd.openxmlformats-officedocument.spreadsheetml.printerSettings">
        <DigestMethod Algorithm="http://www.w3.org/2001/04/xmlenc#sha256"/>
        <DigestValue>89nBNtWGa+e+nMBZt/vG241JYMcErfk0lLyizJbX5DQ=</DigestValue>
      </Reference>
      <Reference URI="/xl/printerSettings/printerSettings15.bin?ContentType=application/vnd.openxmlformats-officedocument.spreadsheetml.printerSettings">
        <DigestMethod Algorithm="http://www.w3.org/2001/04/xmlenc#sha256"/>
        <DigestValue>ye0ygCp8mAHhrxXVqmrSxJPdXaRWG+7cYDv9YXcB6gc=</DigestValue>
      </Reference>
      <Reference URI="/xl/printerSettings/printerSettings16.bin?ContentType=application/vnd.openxmlformats-officedocument.spreadsheetml.printerSettings">
        <DigestMethod Algorithm="http://www.w3.org/2001/04/xmlenc#sha256"/>
        <DigestValue>zHpi8B/AzGRLezKgmRPAVYXkZ0umem7y+NaskYMBbNo=</DigestValue>
      </Reference>
      <Reference URI="/xl/printerSettings/printerSettings17.bin?ContentType=application/vnd.openxmlformats-officedocument.spreadsheetml.printerSettings">
        <DigestMethod Algorithm="http://www.w3.org/2001/04/xmlenc#sha256"/>
        <DigestValue>ye0ygCp8mAHhrxXVqmrSxJPdXaRWG+7cYDv9YXcB6gc=</DigestValue>
      </Reference>
      <Reference URI="/xl/printerSettings/printerSettings18.bin?ContentType=application/vnd.openxmlformats-officedocument.spreadsheetml.printerSettings">
        <DigestMethod Algorithm="http://www.w3.org/2001/04/xmlenc#sha256"/>
        <DigestValue>zHpi8B/AzGRLezKgmRPAVYXkZ0umem7y+NaskYMBbNo=</DigestValue>
      </Reference>
      <Reference URI="/xl/printerSettings/printerSettings19.bin?ContentType=application/vnd.openxmlformats-officedocument.spreadsheetml.printerSettings">
        <DigestMethod Algorithm="http://www.w3.org/2001/04/xmlenc#sha256"/>
        <DigestValue>j2fyYiYEDbsNOQmjBcY1ZN1XHPKd9g1sTClCpHYJTxw=</DigestValue>
      </Reference>
      <Reference URI="/xl/printerSettings/printerSettings2.bin?ContentType=application/vnd.openxmlformats-officedocument.spreadsheetml.printerSettings">
        <DigestMethod Algorithm="http://www.w3.org/2001/04/xmlenc#sha256"/>
        <DigestValue>1/ZWSL2z/rx8MILo7VSKeZ2fxt90tdO1+d177mn/62I=</DigestValue>
      </Reference>
      <Reference URI="/xl/printerSettings/printerSettings20.bin?ContentType=application/vnd.openxmlformats-officedocument.spreadsheetml.printerSettings">
        <DigestMethod Algorithm="http://www.w3.org/2001/04/xmlenc#sha256"/>
        <DigestValue>ye0ygCp8mAHhrxXVqmrSxJPdXaRWG+7cYDv9YXcB6gc=</DigestValue>
      </Reference>
      <Reference URI="/xl/printerSettings/printerSettings21.bin?ContentType=application/vnd.openxmlformats-officedocument.spreadsheetml.printerSettings">
        <DigestMethod Algorithm="http://www.w3.org/2001/04/xmlenc#sha256"/>
        <DigestValue>1/ZWSL2z/rx8MILo7VSKeZ2fxt90tdO1+d177mn/62I=</DigestValue>
      </Reference>
      <Reference URI="/xl/printerSettings/printerSettings22.bin?ContentType=application/vnd.openxmlformats-officedocument.spreadsheetml.printerSettings">
        <DigestMethod Algorithm="http://www.w3.org/2001/04/xmlenc#sha256"/>
        <DigestValue>1/ZWSL2z/rx8MILo7VSKeZ2fxt90tdO1+d177mn/62I=</DigestValue>
      </Reference>
      <Reference URI="/xl/printerSettings/printerSettings23.bin?ContentType=application/vnd.openxmlformats-officedocument.spreadsheetml.printerSettings">
        <DigestMethod Algorithm="http://www.w3.org/2001/04/xmlenc#sha256"/>
        <DigestValue>1/ZWSL2z/rx8MILo7VSKeZ2fxt90tdO1+d177mn/62I=</DigestValue>
      </Reference>
      <Reference URI="/xl/printerSettings/printerSettings24.bin?ContentType=application/vnd.openxmlformats-officedocument.spreadsheetml.printerSettings">
        <DigestMethod Algorithm="http://www.w3.org/2001/04/xmlenc#sha256"/>
        <DigestValue>89nBNtWGa+e+nMBZt/vG241JYMcErfk0lLyizJbX5DQ=</DigestValue>
      </Reference>
      <Reference URI="/xl/printerSettings/printerSettings25.bin?ContentType=application/vnd.openxmlformats-officedocument.spreadsheetml.printerSettings">
        <DigestMethod Algorithm="http://www.w3.org/2001/04/xmlenc#sha256"/>
        <DigestValue>1/ZWSL2z/rx8MILo7VSKeZ2fxt90tdO1+d177mn/62I=</DigestValue>
      </Reference>
      <Reference URI="/xl/printerSettings/printerSettings26.bin?ContentType=application/vnd.openxmlformats-officedocument.spreadsheetml.printerSettings">
        <DigestMethod Algorithm="http://www.w3.org/2001/04/xmlenc#sha256"/>
        <DigestValue>ye0ygCp8mAHhrxXVqmrSxJPdXaRWG+7cYDv9YXcB6gc=</DigestValue>
      </Reference>
      <Reference URI="/xl/printerSettings/printerSettings27.bin?ContentType=application/vnd.openxmlformats-officedocument.spreadsheetml.printerSettings">
        <DigestMethod Algorithm="http://www.w3.org/2001/04/xmlenc#sha256"/>
        <DigestValue>ye0ygCp8mAHhrxXVqmrSxJPdXaRWG+7cYDv9YXcB6gc=</DigestValue>
      </Reference>
      <Reference URI="/xl/printerSettings/printerSettings28.bin?ContentType=application/vnd.openxmlformats-officedocument.spreadsheetml.printerSettings">
        <DigestMethod Algorithm="http://www.w3.org/2001/04/xmlenc#sha256"/>
        <DigestValue>uaG0dKgP9fdq5dc9SKOxsjO6aFrN5Az1VSB0/pJmHOY=</DigestValue>
      </Reference>
      <Reference URI="/xl/printerSettings/printerSettings29.bin?ContentType=application/vnd.openxmlformats-officedocument.spreadsheetml.printerSettings">
        <DigestMethod Algorithm="http://www.w3.org/2001/04/xmlenc#sha256"/>
        <DigestValue>1/ZWSL2z/rx8MILo7VSKeZ2fxt90tdO1+d177mn/62I=</DigestValue>
      </Reference>
      <Reference URI="/xl/printerSettings/printerSettings3.bin?ContentType=application/vnd.openxmlformats-officedocument.spreadsheetml.printerSettings">
        <DigestMethod Algorithm="http://www.w3.org/2001/04/xmlenc#sha256"/>
        <DigestValue>1/ZWSL2z/rx8MILo7VSKeZ2fxt90tdO1+d177mn/62I=</DigestValue>
      </Reference>
      <Reference URI="/xl/printerSettings/printerSettings30.bin?ContentType=application/vnd.openxmlformats-officedocument.spreadsheetml.printerSettings">
        <DigestMethod Algorithm="http://www.w3.org/2001/04/xmlenc#sha256"/>
        <DigestValue>nJAHBoN2Wdd9B+xnkmN0ykoUgt2u5nrsxBIkEuDEWMI=</DigestValue>
      </Reference>
      <Reference URI="/xl/printerSettings/printerSettings31.bin?ContentType=application/vnd.openxmlformats-officedocument.spreadsheetml.printerSettings">
        <DigestMethod Algorithm="http://www.w3.org/2001/04/xmlenc#sha256"/>
        <DigestValue>PKvbYuXDtz2QckuDs7cNpUQNkkCqcuMyB+0oxE8UEtI=</DigestValue>
      </Reference>
      <Reference URI="/xl/printerSettings/printerSettings32.bin?ContentType=application/vnd.openxmlformats-officedocument.spreadsheetml.printerSettings">
        <DigestMethod Algorithm="http://www.w3.org/2001/04/xmlenc#sha256"/>
        <DigestValue>ye0ygCp8mAHhrxXVqmrSxJPdXaRWG+7cYDv9YXcB6gc=</DigestValue>
      </Reference>
      <Reference URI="/xl/printerSettings/printerSettings33.bin?ContentType=application/vnd.openxmlformats-officedocument.spreadsheetml.printerSettings">
        <DigestMethod Algorithm="http://www.w3.org/2001/04/xmlenc#sha256"/>
        <DigestValue>89nBNtWGa+e+nMBZt/vG241JYMcErfk0lLyizJbX5DQ=</DigestValue>
      </Reference>
      <Reference URI="/xl/printerSettings/printerSettings34.bin?ContentType=application/vnd.openxmlformats-officedocument.spreadsheetml.printerSettings">
        <DigestMethod Algorithm="http://www.w3.org/2001/04/xmlenc#sha256"/>
        <DigestValue>1/ZWSL2z/rx8MILo7VSKeZ2fxt90tdO1+d177mn/62I=</DigestValue>
      </Reference>
      <Reference URI="/xl/printerSettings/printerSettings35.bin?ContentType=application/vnd.openxmlformats-officedocument.spreadsheetml.printerSettings">
        <DigestMethod Algorithm="http://www.w3.org/2001/04/xmlenc#sha256"/>
        <DigestValue>1/ZWSL2z/rx8MILo7VSKeZ2fxt90tdO1+d177mn/62I=</DigestValue>
      </Reference>
      <Reference URI="/xl/printerSettings/printerSettings36.bin?ContentType=application/vnd.openxmlformats-officedocument.spreadsheetml.printerSettings">
        <DigestMethod Algorithm="http://www.w3.org/2001/04/xmlenc#sha256"/>
        <DigestValue>PKvbYuXDtz2QckuDs7cNpUQNkkCqcuMyB+0oxE8UEtI=</DigestValue>
      </Reference>
      <Reference URI="/xl/printerSettings/printerSettings37.bin?ContentType=application/vnd.openxmlformats-officedocument.spreadsheetml.printerSettings">
        <DigestMethod Algorithm="http://www.w3.org/2001/04/xmlenc#sha256"/>
        <DigestValue>1/ZWSL2z/rx8MILo7VSKeZ2fxt90tdO1+d177mn/62I=</DigestValue>
      </Reference>
      <Reference URI="/xl/printerSettings/printerSettings38.bin?ContentType=application/vnd.openxmlformats-officedocument.spreadsheetml.printerSettings">
        <DigestMethod Algorithm="http://www.w3.org/2001/04/xmlenc#sha256"/>
        <DigestValue>uaG0dKgP9fdq5dc9SKOxsjO6aFrN5Az1VSB0/pJmHOY=</DigestValue>
      </Reference>
      <Reference URI="/xl/printerSettings/printerSettings39.bin?ContentType=application/vnd.openxmlformats-officedocument.spreadsheetml.printerSettings">
        <DigestMethod Algorithm="http://www.w3.org/2001/04/xmlenc#sha256"/>
        <DigestValue>1/ZWSL2z/rx8MILo7VSKeZ2fxt90tdO1+d177mn/62I=</DigestValue>
      </Reference>
      <Reference URI="/xl/printerSettings/printerSettings4.bin?ContentType=application/vnd.openxmlformats-officedocument.spreadsheetml.printerSettings">
        <DigestMethod Algorithm="http://www.w3.org/2001/04/xmlenc#sha256"/>
        <DigestValue>89nBNtWGa+e+nMBZt/vG241JYMcErfk0lLyizJbX5DQ=</DigestValue>
      </Reference>
      <Reference URI="/xl/printerSettings/printerSettings40.bin?ContentType=application/vnd.openxmlformats-officedocument.spreadsheetml.printerSettings">
        <DigestMethod Algorithm="http://www.w3.org/2001/04/xmlenc#sha256"/>
        <DigestValue>nJAHBoN2Wdd9B+xnkmN0ykoUgt2u5nrsxBIkEuDEWMI=</DigestValue>
      </Reference>
      <Reference URI="/xl/printerSettings/printerSettings41.bin?ContentType=application/vnd.openxmlformats-officedocument.spreadsheetml.printerSettings">
        <DigestMethod Algorithm="http://www.w3.org/2001/04/xmlenc#sha256"/>
        <DigestValue>zHpi8B/AzGRLezKgmRPAVYXkZ0umem7y+NaskYMBbNo=</DigestValue>
      </Reference>
      <Reference URI="/xl/printerSettings/printerSettings42.bin?ContentType=application/vnd.openxmlformats-officedocument.spreadsheetml.printerSettings">
        <DigestMethod Algorithm="http://www.w3.org/2001/04/xmlenc#sha256"/>
        <DigestValue>1/ZWSL2z/rx8MILo7VSKeZ2fxt90tdO1+d177mn/62I=</DigestValue>
      </Reference>
      <Reference URI="/xl/printerSettings/printerSettings43.bin?ContentType=application/vnd.openxmlformats-officedocument.spreadsheetml.printerSettings">
        <DigestMethod Algorithm="http://www.w3.org/2001/04/xmlenc#sha256"/>
        <DigestValue>zHpi8B/AzGRLezKgmRPAVYXkZ0umem7y+NaskYMBbNo=</DigestValue>
      </Reference>
      <Reference URI="/xl/printerSettings/printerSettings44.bin?ContentType=application/vnd.openxmlformats-officedocument.spreadsheetml.printerSettings">
        <DigestMethod Algorithm="http://www.w3.org/2001/04/xmlenc#sha256"/>
        <DigestValue>zHpi8B/AzGRLezKgmRPAVYXkZ0umem7y+NaskYMBbNo=</DigestValue>
      </Reference>
      <Reference URI="/xl/printerSettings/printerSettings45.bin?ContentType=application/vnd.openxmlformats-officedocument.spreadsheetml.printerSettings">
        <DigestMethod Algorithm="http://www.w3.org/2001/04/xmlenc#sha256"/>
        <DigestValue>PKvbYuXDtz2QckuDs7cNpUQNkkCqcuMyB+0oxE8UEtI=</DigestValue>
      </Reference>
      <Reference URI="/xl/printerSettings/printerSettings46.bin?ContentType=application/vnd.openxmlformats-officedocument.spreadsheetml.printerSettings">
        <DigestMethod Algorithm="http://www.w3.org/2001/04/xmlenc#sha256"/>
        <DigestValue>PKvbYuXDtz2QckuDs7cNpUQNkkCqcuMyB+0oxE8UEtI=</DigestValue>
      </Reference>
      <Reference URI="/xl/printerSettings/printerSettings5.bin?ContentType=application/vnd.openxmlformats-officedocument.spreadsheetml.printerSettings">
        <DigestMethod Algorithm="http://www.w3.org/2001/04/xmlenc#sha256"/>
        <DigestValue>SK3ve5YjWvCu/bPgXnCB+vXPOFLwdezqOIyUlNYX1Rs=</DigestValue>
      </Reference>
      <Reference URI="/xl/printerSettings/printerSettings6.bin?ContentType=application/vnd.openxmlformats-officedocument.spreadsheetml.printerSettings">
        <DigestMethod Algorithm="http://www.w3.org/2001/04/xmlenc#sha256"/>
        <DigestValue>ye0ygCp8mAHhrxXVqmrSxJPdXaRWG+7cYDv9YXcB6gc=</DigestValue>
      </Reference>
      <Reference URI="/xl/printerSettings/printerSettings7.bin?ContentType=application/vnd.openxmlformats-officedocument.spreadsheetml.printerSettings">
        <DigestMethod Algorithm="http://www.w3.org/2001/04/xmlenc#sha256"/>
        <DigestValue>eREZYrwMnkZvA29/8E4+7aeM8YqNhZtvIilWyIDfBbU=</DigestValue>
      </Reference>
      <Reference URI="/xl/printerSettings/printerSettings8.bin?ContentType=application/vnd.openxmlformats-officedocument.spreadsheetml.printerSettings">
        <DigestMethod Algorithm="http://www.w3.org/2001/04/xmlenc#sha256"/>
        <DigestValue>ye0ygCp8mAHhrxXVqmrSxJPdXaRWG+7cYDv9YXcB6gc=</DigestValue>
      </Reference>
      <Reference URI="/xl/printerSettings/printerSettings9.bin?ContentType=application/vnd.openxmlformats-officedocument.spreadsheetml.printerSettings">
        <DigestMethod Algorithm="http://www.w3.org/2001/04/xmlenc#sha256"/>
        <DigestValue>ye0ygCp8mAHhrxXVqmrSxJPdXaRWG+7cYDv9YXcB6gc=</DigestValue>
      </Reference>
      <Reference URI="/xl/sharedStrings.xml?ContentType=application/vnd.openxmlformats-officedocument.spreadsheetml.sharedStrings+xml">
        <DigestMethod Algorithm="http://www.w3.org/2001/04/xmlenc#sha256"/>
        <DigestValue>B1bZpjOBGENlWdWX2UMbYB2PpQYK2vFXnWQRur+zoPU=</DigestValue>
      </Reference>
      <Reference URI="/xl/styles.xml?ContentType=application/vnd.openxmlformats-officedocument.spreadsheetml.styles+xml">
        <DigestMethod Algorithm="http://www.w3.org/2001/04/xmlenc#sha256"/>
        <DigestValue>UR5/yYnoSV3ME6e901pEWZ8xoyW5mT2e2Jz6epQkBJo=</DigestValue>
      </Reference>
      <Reference URI="/xl/theme/theme1.xml?ContentType=application/vnd.openxmlformats-officedocument.theme+xml">
        <DigestMethod Algorithm="http://www.w3.org/2001/04/xmlenc#sha256"/>
        <DigestValue>9ZDC2JufYryaQksRfNXU723Z+OanJ/58pfsnHEq2DUE=</DigestValue>
      </Reference>
      <Reference URI="/xl/workbook.xml?ContentType=application/vnd.openxmlformats-officedocument.spreadsheetml.sheet.main+xml">
        <DigestMethod Algorithm="http://www.w3.org/2001/04/xmlenc#sha256"/>
        <DigestValue>rN6Ms0R2JZh/5uGW3D/Le9/dFVDmZUXSjGlF8lqzEms=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OG64TWTD7j+T6XEgwX6U1t2JQ9uBwF5JfRZ27xxpJ+w=</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aYXRgcDQ1Zc3QOfgyhqLIFev18/0l/S8gnTb1puzGIU=</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a44YNjtiym0S9exNLLrYg/u0IjW9EHsUCQlLPMlbO/o=</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HdiCc2p1UdKZddbHWP2HyFRaoEzeashVOh5eS2LOudg=</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7KnOMn7UlXli3Jy1eYmN5veK0HI9TOlohTDdyttJaLI=</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oCA/gRRRvc+jJc1iCaZLWrOziIRnDRXjxvYvv33q2GU=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w9kJgC3POm8IXkF8apaHYpiB7UgESnMvh8+REVGXmoc=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M1DPmTSPxL6pjK6Hlh39zRu5bD4dygfn4SBqudnogyE=</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aUH3EIC3LJ1WlPFqNXrO/jOyW/nktb+VO6C48U39/oI=</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k432tqojAmZglSJMpQHY06sOwkUHw93eXxXEqXwyorw=</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xwsv2H/gebHOpn0u17DPxoNhPhoF79jqTl8wgDpXcoc=</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tDoQKO/BkLp4kR3UztCc7PA22VmRNizbvJ+5Z2HWEFU=</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rLdvf3yY2ekrKu60idP2MsLKORy6SOjqi0FnsyMynGM=</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0k9F14bi/16tdQhj4IyNfKjYKY/Wxdjc6uOJZt2NSFQ=</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IgAbisjOm+Z/o4medQzuRzY+pxXjrkDU9o+AIfBQFik=</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k1lyfwqmmD/+IoVTg0kz9LzXUr1Uk3Si/nXVc+rnGMI=</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in1AbNBHz/S0qRwmZrYRmD6KDCBFiMU7ahORI/fscjY=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Cp9PA/EMUCmFN0rjs+ZKFhODDEGzJl8Ch1IdmuYTIUc=</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3iS29RgGizUTgmtBni8degzLfqWHy2uN4AVjRehr32M=</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nE0f+bF4IP96+tRIO9//VfSQTMl2/L1srvLlnHh7IeU=</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yLbFZOaatprfLLCZ68UZZxklXbzIrPkQXwNXZh1aUe4=</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I/R5yBYm6QMCUJuO8adD1NqOmD8fFhRangLh6nczLNQ=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2ftlSe7ENmwNdQ2MT4KexOA7ta+EHJXAokRQ/Sbe+To=</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0Bnugy7bzitJja739ggKaHQvkr3zKO9A9jpqBY3DiaI=</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82V9aXy3uiUF6h1goyLp993S42PSVT9uLFPxLc8qapo=</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1s/0Bn5zbBkiPy5hlL8rDE6/bmHjfNkm2MgsRuE+aR4=</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7/nemkTZSr1q715vAnYThMf5LzqTkmT+F+jq4QRqzpc=</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OwLohzYa4yen+N/yh2Zb+LLn80QJzm2nQIKSJKSFB/8=</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Y09xDoIGSmpx0MjWTeeEB8jIZEw0AQth19CsyTGwE8w=</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RofjFfDGEQEcA4cUnvodX7beZGieR+bW06/zJsc/T9U=</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1HjkxtgHDD2Y4CVW+ZVs76QTr049Upzf5O5AkLJUa4c=</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6Bbz0o48hzTUTtF6fo4ewGqu0GdHL0idXEEWlAzVmQ4=</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OsJnUIw8ZJm/JrtcL/mX12XnIt31BUOzLCNpse9AlCc=</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Jqu8TGjuincglhnXIRPw5rTdx9ds1e5FUfNPGK7lUxY=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FTLUZSzyPImP/h/5pTtmsiVav3XAxsSoaQXEM6xZNng=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eulYRWlfdY6JQDzO5q0VKDizVJzlUVk+OB91z40Pthc=</DigestValue>
      </Reference>
      <Reference URI="/xl/worksheets/sheet10.xml?ContentType=application/vnd.openxmlformats-officedocument.spreadsheetml.worksheet+xml">
        <DigestMethod Algorithm="http://www.w3.org/2001/04/xmlenc#sha256"/>
        <DigestValue>AIE9Lalx6Y4ebUi5fwWWxsNacrvlRXHgA2Ar20aJEe8=</DigestValue>
      </Reference>
      <Reference URI="/xl/worksheets/sheet11.xml?ContentType=application/vnd.openxmlformats-officedocument.spreadsheetml.worksheet+xml">
        <DigestMethod Algorithm="http://www.w3.org/2001/04/xmlenc#sha256"/>
        <DigestValue>CuDJZXk6/XBQ1lqj970pNbK2Q1byscVdW4t45woilW4=</DigestValue>
      </Reference>
      <Reference URI="/xl/worksheets/sheet12.xml?ContentType=application/vnd.openxmlformats-officedocument.spreadsheetml.worksheet+xml">
        <DigestMethod Algorithm="http://www.w3.org/2001/04/xmlenc#sha256"/>
        <DigestValue>Hvl/uayR/bEVInvVyD8SICQtSzvaC/OkuxdsCQYlWA4=</DigestValue>
      </Reference>
      <Reference URI="/xl/worksheets/sheet13.xml?ContentType=application/vnd.openxmlformats-officedocument.spreadsheetml.worksheet+xml">
        <DigestMethod Algorithm="http://www.w3.org/2001/04/xmlenc#sha256"/>
        <DigestValue>lRHRuiCXFHqCE0gj//m9MdLGI6zgfZSXvPoqsxTYlvQ=</DigestValue>
      </Reference>
      <Reference URI="/xl/worksheets/sheet14.xml?ContentType=application/vnd.openxmlformats-officedocument.spreadsheetml.worksheet+xml">
        <DigestMethod Algorithm="http://www.w3.org/2001/04/xmlenc#sha256"/>
        <DigestValue>NqergfGY08S5/dIu/cC8kRmFg/56AhfYwwbcF82fDyA=</DigestValue>
      </Reference>
      <Reference URI="/xl/worksheets/sheet15.xml?ContentType=application/vnd.openxmlformats-officedocument.spreadsheetml.worksheet+xml">
        <DigestMethod Algorithm="http://www.w3.org/2001/04/xmlenc#sha256"/>
        <DigestValue>xwo6wv4YuxbXuBDFy29E44NUjZHH71ugavQjnoWSSAo=</DigestValue>
      </Reference>
      <Reference URI="/xl/worksheets/sheet16.xml?ContentType=application/vnd.openxmlformats-officedocument.spreadsheetml.worksheet+xml">
        <DigestMethod Algorithm="http://www.w3.org/2001/04/xmlenc#sha256"/>
        <DigestValue>WZIgPu3yGpIXX7gHru0VvQLmpERpU0I0N8bUUxRd1Jc=</DigestValue>
      </Reference>
      <Reference URI="/xl/worksheets/sheet17.xml?ContentType=application/vnd.openxmlformats-officedocument.spreadsheetml.worksheet+xml">
        <DigestMethod Algorithm="http://www.w3.org/2001/04/xmlenc#sha256"/>
        <DigestValue>F7fXwSSdHtzB/v+8sdeSM/Aa2dxmftgDm3pQurCq3Ic=</DigestValue>
      </Reference>
      <Reference URI="/xl/worksheets/sheet18.xml?ContentType=application/vnd.openxmlformats-officedocument.spreadsheetml.worksheet+xml">
        <DigestMethod Algorithm="http://www.w3.org/2001/04/xmlenc#sha256"/>
        <DigestValue>omlPsMfD2qtyiWh3IZkgjY9bAooYUWGOrzhnGhzKAWc=</DigestValue>
      </Reference>
      <Reference URI="/xl/worksheets/sheet19.xml?ContentType=application/vnd.openxmlformats-officedocument.spreadsheetml.worksheet+xml">
        <DigestMethod Algorithm="http://www.w3.org/2001/04/xmlenc#sha256"/>
        <DigestValue>UWOc/phmKOa3xvS/TW0k6x2Ec8jaXocPlm92ijt+HiU=</DigestValue>
      </Reference>
      <Reference URI="/xl/worksheets/sheet2.xml?ContentType=application/vnd.openxmlformats-officedocument.spreadsheetml.worksheet+xml">
        <DigestMethod Algorithm="http://www.w3.org/2001/04/xmlenc#sha256"/>
        <DigestValue>MGlijvdnhc39Pvlkl5c6Nkwxn2XtKaMWvkzHNPlt82U=</DigestValue>
      </Reference>
      <Reference URI="/xl/worksheets/sheet20.xml?ContentType=application/vnd.openxmlformats-officedocument.spreadsheetml.worksheet+xml">
        <DigestMethod Algorithm="http://www.w3.org/2001/04/xmlenc#sha256"/>
        <DigestValue>UTwzTQxN8YOjCAswdZMJDM6oUd1rujjiqDhLsT1w0ME=</DigestValue>
      </Reference>
      <Reference URI="/xl/worksheets/sheet21.xml?ContentType=application/vnd.openxmlformats-officedocument.spreadsheetml.worksheet+xml">
        <DigestMethod Algorithm="http://www.w3.org/2001/04/xmlenc#sha256"/>
        <DigestValue>cOnPOmJ6K44GWZceadr/dEEvbw3HONesToJmtwQHMdk=</DigestValue>
      </Reference>
      <Reference URI="/xl/worksheets/sheet22.xml?ContentType=application/vnd.openxmlformats-officedocument.spreadsheetml.worksheet+xml">
        <DigestMethod Algorithm="http://www.w3.org/2001/04/xmlenc#sha256"/>
        <DigestValue>PE65N6vhlhOfEJle7XRp3hle7sKhyNL43tMy9AE8MRA=</DigestValue>
      </Reference>
      <Reference URI="/xl/worksheets/sheet23.xml?ContentType=application/vnd.openxmlformats-officedocument.spreadsheetml.worksheet+xml">
        <DigestMethod Algorithm="http://www.w3.org/2001/04/xmlenc#sha256"/>
        <DigestValue>87HWAcvX8rRC/Kzjxd8lFiqk0YvqWqarG82a0CbrvTI=</DigestValue>
      </Reference>
      <Reference URI="/xl/worksheets/sheet24.xml?ContentType=application/vnd.openxmlformats-officedocument.spreadsheetml.worksheet+xml">
        <DigestMethod Algorithm="http://www.w3.org/2001/04/xmlenc#sha256"/>
        <DigestValue>2F/pd03FbRsoE/+KPF6RneP8Ma4kKOwmrk15FBxU0kc=</DigestValue>
      </Reference>
      <Reference URI="/xl/worksheets/sheet25.xml?ContentType=application/vnd.openxmlformats-officedocument.spreadsheetml.worksheet+xml">
        <DigestMethod Algorithm="http://www.w3.org/2001/04/xmlenc#sha256"/>
        <DigestValue>YsHKIr2dBrV96KvQ04Jbtqo9tbhjLVgT4w8GED8Spl8=</DigestValue>
      </Reference>
      <Reference URI="/xl/worksheets/sheet26.xml?ContentType=application/vnd.openxmlformats-officedocument.spreadsheetml.worksheet+xml">
        <DigestMethod Algorithm="http://www.w3.org/2001/04/xmlenc#sha256"/>
        <DigestValue>WjKTCj/qPPzpVOqSsdfcvtSQycp2DsTG0/0yKzppztQ=</DigestValue>
      </Reference>
      <Reference URI="/xl/worksheets/sheet27.xml?ContentType=application/vnd.openxmlformats-officedocument.spreadsheetml.worksheet+xml">
        <DigestMethod Algorithm="http://www.w3.org/2001/04/xmlenc#sha256"/>
        <DigestValue>qASykL3bGlUWMx83Sf/k1lW59nsi3Yv3GmEOAgGQfZY=</DigestValue>
      </Reference>
      <Reference URI="/xl/worksheets/sheet28.xml?ContentType=application/vnd.openxmlformats-officedocument.spreadsheetml.worksheet+xml">
        <DigestMethod Algorithm="http://www.w3.org/2001/04/xmlenc#sha256"/>
        <DigestValue>0H/Ou850X2dN/zZwmTxEyz2zn/LZYqc6mNdNmjUlhG0=</DigestValue>
      </Reference>
      <Reference URI="/xl/worksheets/sheet29.xml?ContentType=application/vnd.openxmlformats-officedocument.spreadsheetml.worksheet+xml">
        <DigestMethod Algorithm="http://www.w3.org/2001/04/xmlenc#sha256"/>
        <DigestValue>A4IICHEHr/QM79ZcYg11p9uE0gYBZlhb6Q+THPOtT9A=</DigestValue>
      </Reference>
      <Reference URI="/xl/worksheets/sheet3.xml?ContentType=application/vnd.openxmlformats-officedocument.spreadsheetml.worksheet+xml">
        <DigestMethod Algorithm="http://www.w3.org/2001/04/xmlenc#sha256"/>
        <DigestValue>4Q0udzkgNXJsTJ56IAD6NWGyDz7NPy5ZEjEMzCXFNqA=</DigestValue>
      </Reference>
      <Reference URI="/xl/worksheets/sheet30.xml?ContentType=application/vnd.openxmlformats-officedocument.spreadsheetml.worksheet+xml">
        <DigestMethod Algorithm="http://www.w3.org/2001/04/xmlenc#sha256"/>
        <DigestValue>pbkk3SUqOi3sIQ6/rOLiVH6xG2DrUtXzS4IuxWC8QWs=</DigestValue>
      </Reference>
      <Reference URI="/xl/worksheets/sheet31.xml?ContentType=application/vnd.openxmlformats-officedocument.spreadsheetml.worksheet+xml">
        <DigestMethod Algorithm="http://www.w3.org/2001/04/xmlenc#sha256"/>
        <DigestValue>ngkite/ILMUk5AIVYzOV/XsCJhQ2U9w3D8cfAR4x1D8=</DigestValue>
      </Reference>
      <Reference URI="/xl/worksheets/sheet32.xml?ContentType=application/vnd.openxmlformats-officedocument.spreadsheetml.worksheet+xml">
        <DigestMethod Algorithm="http://www.w3.org/2001/04/xmlenc#sha256"/>
        <DigestValue>yqk47wmQnrsX+1h2Q8GsZE93h7IEClMzUJHDUhf4hfY=</DigestValue>
      </Reference>
      <Reference URI="/xl/worksheets/sheet33.xml?ContentType=application/vnd.openxmlformats-officedocument.spreadsheetml.worksheet+xml">
        <DigestMethod Algorithm="http://www.w3.org/2001/04/xmlenc#sha256"/>
        <DigestValue>/jVFQD1qG2N+lhorqWU7nl9v8bCsAisJ9Ac/gutdCpo=</DigestValue>
      </Reference>
      <Reference URI="/xl/worksheets/sheet34.xml?ContentType=application/vnd.openxmlformats-officedocument.spreadsheetml.worksheet+xml">
        <DigestMethod Algorithm="http://www.w3.org/2001/04/xmlenc#sha256"/>
        <DigestValue>+ffv7htiVUXUxbUQbM93Zeupg37xjLdr56EGAw3VUrA=</DigestValue>
      </Reference>
      <Reference URI="/xl/worksheets/sheet35.xml?ContentType=application/vnd.openxmlformats-officedocument.spreadsheetml.worksheet+xml">
        <DigestMethod Algorithm="http://www.w3.org/2001/04/xmlenc#sha256"/>
        <DigestValue>Ut89VO05itATvizdEH7BhhHEC+7QJ+dBJ9+6OuH69ho=</DigestValue>
      </Reference>
      <Reference URI="/xl/worksheets/sheet36.xml?ContentType=application/vnd.openxmlformats-officedocument.spreadsheetml.worksheet+xml">
        <DigestMethod Algorithm="http://www.w3.org/2001/04/xmlenc#sha256"/>
        <DigestValue>dA0mjxl3jU2/2APsZJXHF9UnqLhw+LJGj94vP7vJVYk=</DigestValue>
      </Reference>
      <Reference URI="/xl/worksheets/sheet37.xml?ContentType=application/vnd.openxmlformats-officedocument.spreadsheetml.worksheet+xml">
        <DigestMethod Algorithm="http://www.w3.org/2001/04/xmlenc#sha256"/>
        <DigestValue>9uxGy15Zr/KZtQduegUkqH+AD+J2by56lFqGCT6pUfg=</DigestValue>
      </Reference>
      <Reference URI="/xl/worksheets/sheet38.xml?ContentType=application/vnd.openxmlformats-officedocument.spreadsheetml.worksheet+xml">
        <DigestMethod Algorithm="http://www.w3.org/2001/04/xmlenc#sha256"/>
        <DigestValue>ACJsDNYI/LufmFIJ4ZqEROuZHyg82ITzjH/HEPDHoo8=</DigestValue>
      </Reference>
      <Reference URI="/xl/worksheets/sheet39.xml?ContentType=application/vnd.openxmlformats-officedocument.spreadsheetml.worksheet+xml">
        <DigestMethod Algorithm="http://www.w3.org/2001/04/xmlenc#sha256"/>
        <DigestValue>pSR+HvoetI1krVGImOpRhrBrPit/bNjGqLmkcTTSPj0=</DigestValue>
      </Reference>
      <Reference URI="/xl/worksheets/sheet4.xml?ContentType=application/vnd.openxmlformats-officedocument.spreadsheetml.worksheet+xml">
        <DigestMethod Algorithm="http://www.w3.org/2001/04/xmlenc#sha256"/>
        <DigestValue>10QfmcRVCa7enVoXzF3mlh5w4+X8MD7cMhIlrYBTzw8=</DigestValue>
      </Reference>
      <Reference URI="/xl/worksheets/sheet40.xml?ContentType=application/vnd.openxmlformats-officedocument.spreadsheetml.worksheet+xml">
        <DigestMethod Algorithm="http://www.w3.org/2001/04/xmlenc#sha256"/>
        <DigestValue>i11fiBBUbtxUl0YMCXIrpCzpsz64xbyv23djEXYLNFQ=</DigestValue>
      </Reference>
      <Reference URI="/xl/worksheets/sheet41.xml?ContentType=application/vnd.openxmlformats-officedocument.spreadsheetml.worksheet+xml">
        <DigestMethod Algorithm="http://www.w3.org/2001/04/xmlenc#sha256"/>
        <DigestValue>GVXdTe1+RzTJtEEJnd4k/BOxhOs1OKyofP5bxyqbL8s=</DigestValue>
      </Reference>
      <Reference URI="/xl/worksheets/sheet42.xml?ContentType=application/vnd.openxmlformats-officedocument.spreadsheetml.worksheet+xml">
        <DigestMethod Algorithm="http://www.w3.org/2001/04/xmlenc#sha256"/>
        <DigestValue>28O2bxI6iRWYo2yT2xXYuEZqBHlMulmx1p3vZp6Iaso=</DigestValue>
      </Reference>
      <Reference URI="/xl/worksheets/sheet43.xml?ContentType=application/vnd.openxmlformats-officedocument.spreadsheetml.worksheet+xml">
        <DigestMethod Algorithm="http://www.w3.org/2001/04/xmlenc#sha256"/>
        <DigestValue>SUeAfw9ZWAP0/4LG7SqThb9cydR+aGtUKQJHsyvt+4o=</DigestValue>
      </Reference>
      <Reference URI="/xl/worksheets/sheet44.xml?ContentType=application/vnd.openxmlformats-officedocument.spreadsheetml.worksheet+xml">
        <DigestMethod Algorithm="http://www.w3.org/2001/04/xmlenc#sha256"/>
        <DigestValue>Ls25i/vfGJ7zfoWK5qB25xgYGYmITTsIGI+wwljdYWo=</DigestValue>
      </Reference>
      <Reference URI="/xl/worksheets/sheet45.xml?ContentType=application/vnd.openxmlformats-officedocument.spreadsheetml.worksheet+xml">
        <DigestMethod Algorithm="http://www.w3.org/2001/04/xmlenc#sha256"/>
        <DigestValue>Yv6JRFRrE63bK+AY1ZOAVR2mACHl5P4bLA5aW2WwkSA=</DigestValue>
      </Reference>
      <Reference URI="/xl/worksheets/sheet46.xml?ContentType=application/vnd.openxmlformats-officedocument.spreadsheetml.worksheet+xml">
        <DigestMethod Algorithm="http://www.w3.org/2001/04/xmlenc#sha256"/>
        <DigestValue>2bseKnx2EWcIVLNyVJm7YqP95RDhQdJZqyFwM6N7xNE=</DigestValue>
      </Reference>
      <Reference URI="/xl/worksheets/sheet5.xml?ContentType=application/vnd.openxmlformats-officedocument.spreadsheetml.worksheet+xml">
        <DigestMethod Algorithm="http://www.w3.org/2001/04/xmlenc#sha256"/>
        <DigestValue>lxzQX+s7Hxaqq3w3c6oJgA1JJAqkYAJl2KJN/LhQbvk=</DigestValue>
      </Reference>
      <Reference URI="/xl/worksheets/sheet6.xml?ContentType=application/vnd.openxmlformats-officedocument.spreadsheetml.worksheet+xml">
        <DigestMethod Algorithm="http://www.w3.org/2001/04/xmlenc#sha256"/>
        <DigestValue>fCJ0zFiEHiOBxPSjwl5mMaDPUQtqC0nWCO+1NloWnRo=</DigestValue>
      </Reference>
      <Reference URI="/xl/worksheets/sheet7.xml?ContentType=application/vnd.openxmlformats-officedocument.spreadsheetml.worksheet+xml">
        <DigestMethod Algorithm="http://www.w3.org/2001/04/xmlenc#sha256"/>
        <DigestValue>snW1icKydvJ8H9ZQGvVYMM3Z3pexWFCaf4mCw+NhJk4=</DigestValue>
      </Reference>
      <Reference URI="/xl/worksheets/sheet8.xml?ContentType=application/vnd.openxmlformats-officedocument.spreadsheetml.worksheet+xml">
        <DigestMethod Algorithm="http://www.w3.org/2001/04/xmlenc#sha256"/>
        <DigestValue>9iBPpvYs4XqKQPfZxJPyPgaSPDk0L0LayREllbCwqFA=</DigestValue>
      </Reference>
      <Reference URI="/xl/worksheets/sheet9.xml?ContentType=application/vnd.openxmlformats-officedocument.spreadsheetml.worksheet+xml">
        <DigestMethod Algorithm="http://www.w3.org/2001/04/xmlenc#sha256"/>
        <DigestValue>o2si30x2X+LYLNamB6ljcFjKfnxKfoKrAGw++qdlzSA=</DigestValue>
      </Reference>
    </Manifest>
    <SignatureProperties>
      <SignatureProperty Id="idSignatureTime" Target="#idPackageSignature">
        <mdssi:SignatureTime xmlns:mdssi="http://schemas.openxmlformats.org/package/2006/digital-signature">
          <mdssi:Format>YYYY-MM-DDThh:mm:ssTZD</mdssi:Format>
          <mdssi:Value>2025-03-26T17:02:45Z</mdssi:Value>
        </mdssi:SignatureTime>
      </SignatureProperty>
    </SignatureProperties>
  </Object>
  <Object Id="idOfficeObject">
    <SignatureProperties>
      <SignatureProperty Id="idOfficeV1Details" Target="#idPackageSignature">
        <SignatureInfoV1 xmlns="http://schemas.microsoft.com/office/2006/digsig">
          <SetupID>{36C5729C-CE5D-4B58-AEF4-AFE4E5BB66AB}</SetupID>
          <SignatureText>Alberto Sallustro Marin</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2025-03-26T17:02:45Z</xd:SigningTime>
          <xd:SigningCertificate>
            <xd:Cert>
              <xd:CertDigest>
                <DigestMethod Algorithm="http://www.w3.org/2001/04/xmlenc#sha256"/>
                <DigestValue>GZnT/ZgEBdVogwk8SbPpoXLyQJcgDkVz4E50WnMF76s=</DigestValue>
              </xd:CertDigest>
              <xd:IssuerSerial>
                <X509IssuerName>C=PY, O=DOCUMENTA S.A., SERIALNUMBER=RUC80050172-1, CN=CA-DOCUMENTA S.A.</X509IssuerName>
                <X509SerialNumber>1500461142016919504</X509SerialNumber>
              </xd:IssuerSerial>
            </xd:Cert>
          </xd:SigningCertificate>
          <xd:SignaturePolicyIdentifier>
            <xd:SignaturePolicyImplied/>
          </xd:SignaturePolicyIdentifier>
        </xd:SignedSignatureProperties>
      </xd:SignedProperties>
    </xd:QualifyingProperties>
  </Object>
  <Object Id="idValidSigLnImg">AQAAAGwAAAAAAAAAAAAAACQBAAB/AAAAAAAAAAAAAADTHAAAkQwAACBFTUYAAAEAJBwAAKoAAAAGAAAAAAAAAAAAAAAAAAAAVgUAAAADAABYAQAAwQAAAAAAAAAAAAAAAAAAAMA/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AAAAAAAAAAAAAAAl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AAAAAAAlAAAADAAAAAEAAABMAAAAZAAAAAAAAAAAAAAAJAEAAH8AAAAAAAAAAAAAACUBAACAAAAAIQDwAAAAAAAAAAAAAACAPwAAAAAAAAAAAACAPwAAAAAAAAAAAAAAAAAAAAAAAAAAAAAAAAAAAAAAAAAAJQAAAAwAAAAAAACAKAAAAAwAAAABAAAAJwAAABgAAAABAAAAAAAAAP///wAAAAAAJQAAAAwAAAABAAAATAAAAGQAAAAAAAAAAAAAACQBAAB/AAAAAAAAAAAAAAAl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gA2AC8AMwAvADIAMAAyADUAAAAGAAAABgAAAAQAAAAGAAAABAAAAAYAAAAGAAAABg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E/b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MsAAABHAAAAKQAAADMAAACj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MwAAABIAAAAJQAAAAwAAAAEAAAAVAAAANgAAAAqAAAAMwAAAMoAAABHAAAAAQAAANF2yUGrCslBKgAAADMAAAAXAAAATAAAAAAAAAAAAAAAAAAAAP//////////fAAAAEEAbABiAGUAcgB0AG8AIABTAGEAbABsAHUAcwB0AHIAbwAgAE0AYQByAGkAbgArgwoAAAAEAAAACQAAAAgAAAAGAAAABQAAAAkAAAAEAAAACQAAAAgAAAAEAAAABAAAAAkAAAAHAAAABQAAAAYAAAAJAAAABAAAAA4AAAAIAAAABgAAAAQAAAAJAAAASwAAAEAAAAAwAAAABQAAACAAAAABAAAAAQAAABAAAAAAAAAAAAAAACUBAACAAAAAAAAAAAAAAAAlAQAAgAAAACUAAAAMAAAAAgAAACcAAAAYAAAABQAAAAAAAAD///8AAAAAACUAAAAMAAAABQAAAEwAAABkAAAAAAAAAFAAAAAkAQAAfAAAAAAAAABQAAAAJ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NgAAAAKAAAAUAAAAIAAAABcAAAAAQAAANF2yUGrCslBCgAAAFAAAAAXAAAATAAAAAAAAAAAAAAAAAAAAP//////////fAAAAEEAbABiAGUAcgB0AG8AIABTAGEAbABsAHUAcwB0AHIAbwAgAE0AYQByAO0AbgAAAAcAAAADAAAABwAAAAYAAAAEAAAABAAAAAcAAAADAAAABgAAAAYAAAADAAAAAwAAAAcAAAAFAAAABAAAAAQAAAAHAAAAAwAAAAoAAAAGAAAABAAAAAMAAAAHAAAASwAAAEAAAAAwAAAABQAAACAAAAABAAAAAQAAABAAAAAAAAAAAAAAACUBAACAAAAAAAAAAAAAAAAl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iAAAAAoAAABgAAAAPwAAAGwAAAABAAAA0XbJQasKyUEKAAAAYAAAAAoAAABMAAAAAAAAAAAAAAAAAAAA//////////9gAAAAUAByAGUAcwBpAGQAZQBuAHQAZQAGAAAABAAAAAYAAAAFAAAAAwAAAAcAAAAGAAAABwAAAAQAAAAGAAAASwAAAEAAAAAwAAAABQAAACAAAAABAAAAAQAAABAAAAAAAAAAAAAAACUBAACAAAAAAAAAAAAAAAAlAQAAgAAAACUAAAAMAAAAAgAAACcAAAAYAAAABQAAAAAAAAD///8AAAAAACUAAAAMAAAABQAAAEwAAABkAAAACQAAAHAAAAAbAQAAfAAAAAkAAABwAAAAEwEAAA0AAAAhAPAAAAAAAAAAAAAAAIA/AAAAAAAAAAAAAIA/AAAAAAAAAAAAAAAAAAAAAAAAAAAAAAAAAAAAAAAAAAAlAAAADAAAAAAAAIAoAAAADAAAAAUAAAAlAAAADAAAAAEAAAAYAAAADAAAAAAAAAASAAAADAAAAAEAAAAWAAAADAAAAAAAAABUAAAAXAEAAAoAAABwAAAAGgEAAHwAAAABAAAA0XbJQasKyUEKAAAAcAAAAC0AAABMAAAABAAAAAkAAABwAAAAHAEAAH0AAACoAAAARgBpAHIAbQBhAGQAbwAgAHAAbwByADoAIABBAEwAQgBFAFIAVABPACAAQwBBAFkARQBUAEEATgBPACAAUwBBAEwATABVAFMAVABSAE8AIABNAEEAUgBJAE4AV4MGAAAAAwAAAAQAAAAJAAAABgAAAAcAAAAHAAAAAwAAAAcAAAAHAAAABAAAAAMAAAADAAAABwAAAAUAAAAGAAAABgAAAAcAAAAGAAAACQAAAAMAAAAHAAAABwAAAAUAAAAGAAAABgAAAAcAAAAIAAAACQAAAAMAAAAGAAAABwAAAAUAAAAFAAAACAAAAAYAAAAGAAAABwAAAAkAAAADAAAACgAAAAcAAAAHAAAAAwAAAAgAAAAWAAAADAAAAAAAAAAlAAAADAAAAAIAAAAOAAAAFAAAAAAAAAAQAAAAFAAAAA==</Object>
  <Object Id="idInvalidSigLnImg">AQAAAGwAAAAAAAAAAAAAACQBAAB/AAAAAAAAAAAAAADTHAAAkQwAACBFTUYAAAEAlCEAALEAAAAGAAAAAAAAAAAAAAAAAAAAVgUAAAADAABYAQAAwQAAAAAAAAAAAAAAAAAAAMA/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AAAAAAAAAAAAAAAl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AAAAAAAlAAAADAAAAAEAAABMAAAAZAAAAAAAAAAAAAAAJAEAAH8AAAAAAAAAAAAAACUBAACAAAAAIQDwAAAAAAAAAAAAAACAPwAAAAAAAAAAAACAPwAAAAAAAAAAAAAAAAAAAAAAAAAAAAAAAAAAAAAAAAAAJQAAAAwAAAAAAACAKAAAAAwAAAABAAAAJwAAABgAAAABAAAAAAAAAP///wAAAAAAJQAAAAwAAAABAAAATAAAAGQAAAAAAAAAAAAAACQBAAB/AAAAAAAAAAAAAAAl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MsAAABHAAAAKQAAADMAAACj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MwAAABIAAAAJQAAAAwAAAAEAAAAVAAAANgAAAAqAAAAMwAAAMoAAABHAAAAAQAAANF2yUGrCslBKgAAADMAAAAXAAAATAAAAAAAAAAAAAAAAAAAAP//////////fAAAAEEAbABiAGUAcgB0AG8AIABTAGEAbABsAHUAcwB0AHIAbwAgAE0AYQByAGkAbgAAAAoAAAAEAAAACQAAAAgAAAAGAAAABQAAAAkAAAAEAAAACQAAAAgAAAAEAAAABAAAAAkAAAAHAAAABQAAAAYAAAAJAAAABAAAAA4AAAAIAAAABgAAAAQAAAAJAAAASwAAAEAAAAAwAAAABQAAACAAAAABAAAAAQAAABAAAAAAAAAAAAAAACUBAACAAAAAAAAAAAAAAAAlAQAAgAAAACUAAAAMAAAAAgAAACcAAAAYAAAABQAAAAAAAAD///8AAAAAACUAAAAMAAAABQAAAEwAAABkAAAAAAAAAFAAAAAkAQAAfAAAAAAAAABQAAAAJ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NgAAAAKAAAAUAAAAIAAAABcAAAAAQAAANF2yUGrCslBCgAAAFAAAAAXAAAATAAAAAAAAAAAAAAAAAAAAP//////////fAAAAEEAbABiAGUAcgB0AG8AIABTAGEAbABsAHUAcwB0AHIAbwAgAE0AYQByAO0AbgAAAAcAAAADAAAABwAAAAYAAAAEAAAABAAAAAcAAAADAAAABgAAAAYAAAADAAAAAwAAAAcAAAAFAAAABAAAAAQAAAAHAAAAAwAAAAoAAAAGAAAABAAAAAMAAAAHAAAASwAAAEAAAAAwAAAABQAAACAAAAABAAAAAQAAABAAAAAAAAAAAAAAACUBAACAAAAAAAAAAAAAAAAl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iAAAAAoAAABgAAAAPwAAAGwAAAABAAAA0XbJQasKyUEKAAAAYAAAAAoAAABMAAAAAAAAAAAAAAAAAAAA//////////9gAAAAUAByAGUAcwBpAGQAZQBuAHQAZQAGAAAABAAAAAYAAAAFAAAAAwAAAAcAAAAGAAAABwAAAAQAAAAGAAAASwAAAEAAAAAwAAAABQAAACAAAAABAAAAAQAAABAAAAAAAAAAAAAAACUBAACAAAAAAAAAAAAAAAAlAQAAgAAAACUAAAAMAAAAAgAAACcAAAAYAAAABQAAAAAAAAD///8AAAAAACUAAAAMAAAABQAAAEwAAABkAAAACQAAAHAAAAAbAQAAfAAAAAkAAABwAAAAEwEAAA0AAAAhAPAAAAAAAAAAAAAAAIA/AAAAAAAAAAAAAIA/AAAAAAAAAAAAAAAAAAAAAAAAAAAAAAAAAAAAAAAAAAAlAAAADAAAAAAAAIAoAAAADAAAAAUAAAAlAAAADAAAAAEAAAAYAAAADAAAAAAAAAASAAAADAAAAAEAAAAWAAAADAAAAAAAAABUAAAAXAEAAAoAAABwAAAAGgEAAHwAAAABAAAA0XbJQasKyUEKAAAAcAAAAC0AAABMAAAABAAAAAkAAABwAAAAHAEAAH0AAACoAAAARgBpAHIAbQBhAGQAbwAgAHAAbwByADoAIABBAEwAQgBFAFIAVABPACAAQwBBAFkARQBUAEEATgBPACAAUwBBAEwATABVAFMAVABSAE8AIABNAEEAUgBJAE4AT9sGAAAAAwAAAAQAAAAJAAAABgAAAAcAAAAHAAAAAwAAAAcAAAAHAAAABAAAAAMAAAADAAAABwAAAAUAAAAGAAAABgAAAAcAAAAGAAAACQAAAAMAAAAHAAAABwAAAAUAAAAGAAAABgAAAAcAAAAIAAAACQAAAAMAAAAGAAAABwAAAAUAAAAFAAAACAAAAAYAAAAGAAAABwAAAAkAAAADAAAACgAAAAcAAAAHAAAAAwAAAAgAAAAWAAAADAAAAAAAAAAlAAAADAAAAAIAAAAOAAAAFAAAAAAAAAAQAAAAFA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7MI89fCMBu8QV/ek7JU/9ESCeY0TAUvkA+tyUIG403w=</DigestValue>
    </Reference>
    <Reference Type="http://www.w3.org/2000/09/xmldsig#Object" URI="#idOfficeObject">
      <DigestMethod Algorithm="http://www.w3.org/2001/04/xmlenc#sha256"/>
      <DigestValue>Ym5ZuslErPSDYXL7tXnpxZo4LjPFoHsZgRyFOy6rIBw=</DigestValue>
    </Reference>
    <Reference Type="http://uri.etsi.org/01903#SignedProperties" URI="#idSignedProperties">
      <Transforms>
        <Transform Algorithm="http://www.w3.org/TR/2001/REC-xml-c14n-20010315"/>
      </Transforms>
      <DigestMethod Algorithm="http://www.w3.org/2001/04/xmlenc#sha256"/>
      <DigestValue>s6LHSkONA++1QuMa0hOs7ZAD21BaIxBfrxodim2zpW0=</DigestValue>
    </Reference>
    <Reference Type="http://www.w3.org/2000/09/xmldsig#Object" URI="#idValidSigLnImg">
      <DigestMethod Algorithm="http://www.w3.org/2001/04/xmlenc#sha256"/>
      <DigestValue>I8OTt733zPawOZcojIQuJhaQRwdDASRsk7212UFzFIM=</DigestValue>
    </Reference>
    <Reference Type="http://www.w3.org/2000/09/xmldsig#Object" URI="#idInvalidSigLnImg">
      <DigestMethod Algorithm="http://www.w3.org/2001/04/xmlenc#sha256"/>
      <DigestValue>4n4bHq8YHhnZAJVIgSubHlVKWAXWlxbxR+3Gom7oAnc=</DigestValue>
    </Reference>
  </SignedInfo>
  <SignatureValue>SsHlsXlTb9LBTmsfJOv3rHXQPvzqxpm4PN5sNuNPZzsfPKmXRFN82q5aX9/Ai4Yow2S04YidOnxS
OPS1oZjRiY6tTufPvqtCoR6+Re5it/B8f2gsKqFOh+qL64fwO9ccNfeLlw01cO5JKLKzX2whC/oU
hfhv2rkhJ9s3XbVc9OhbvtjqrDzqbeqPqA6jXLuy+3Mcz9Izz/Ap0LZw9gS4U+C1TxP6xLvmoga4
LQVslwq7jeFtMUBW1n5C1pPPj804dpkkzE/+xkS57TB+RrRVdbp7VxOcYtg7UcNcMfToD2lwBG4g
nTI18kz1IrDvo0tN4kP20s5celo9Vf6pFQE7SQ==</SignatureValue>
  <KeyInfo>
    <X509Data>
      <X509Certificate>MIIIkjCCBnqgAwIBAgIIBy0kkzvNbpcwDQYJKoZIhvcNAQELBQAwWjEaMBgGA1UEAwwRQ0EtRE9DVU1FTlRBIFMuQS4xFjAUBgNVBAUTDVJVQzgwMDUwMTcyLTExFzAVBgNVBAoMDkRPQ1VNRU5UQSBTLkEuMQswCQYDVQQGEwJQWTAeFw0yNDEyMDMxMjU0MDBaFw0yNjEyMDMxMjU0MDBaMIHHMSowKAYDVQQDDCFPQ1RBVklPIEFMQkVSVE8gU0FMTFVTVFJPIENBTExJWk8xEjAQBgNVBAUTCUNJMjA4MzM4MDEYMBYGA1UEKgwPT0NUQVZJTyBBTEJFUlRPMRowGAYDVQQEDBFTQUxMVVNUUk8gQ0FMTElaTzELMAkGA1UECwwCRjIxNTAzBgNVBAoMLENFUlRJRklDQURPIENVQUxJRklDQURPIERFIEZJUk1BIEVMRUNUUk9OSUNBMQswCQYDVQQGEwJQWTCCASIwDQYJKoZIhvcNAQEBBQADggEPADCCAQoCggEBAMGSiDTzz0TC2MFPR/LzuS4aQFNWlSabjh+AzqYmR/cHV+mrms7Y6OaJ3L25hXddjXlA5Hdam4Nryub25UUwpyAkkUyn9Y2JbYZbCjw7JAPfJdU+ohabiPfdzHLtlSQoh295b6A2b/5CyOTzKgpaDp9lZ4o3ZfjAHeOK9f9Dda5PoA5VR7RYv347TbpwdFC40CY6KG6ptcuL8tNJS7WIUDLUlKdM9uKICUQuxy9XppG4/erWkPDCDivD0GE+/DbapcU3dofwDxU0m/zpCncBUwOXXlp1WeAFcmooxZ6FcqcrnsDJtK+Hf/TMBdI3yNg79gFHsruVeYE+88LIobJZKPkCAwEAAaOCA+wwggPoMAwGA1UdEwEB/wQCMAAwHwYDVR0jBBgwFoAUoT2FK83YLJYfOQIMn1M7WNiVC3swgZQGCCsGAQUFBwEBBIGHMIGEMFUGCCsGAQUFBzAChklodHRwczovL3d3dy5kaWdpdG8uY29tLnB5L3VwbG9hZHMvY2VydGlmaWNhZG8tZG9jdW1lbnRhLXNhLTE1MzUxMTc3NzEuY3J0MCsGCCsGAQUFBzABhh9odHRwczovL3d3dy5kaWdpdG8uY29tLnB5L29jc3AvME8GA1UdEQRIMEaBGG9jdGF2aW9Ac2FsbHVzdHJv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O8a20ZsohEDNqHc+HER/IA7OY76MA4GA1UdDwEB/wQEAwIF4DANBgkqhkiG9w0BAQsFAAOCAgEAY4oLYx3t8cnFOcQhPcxda9UkQ0xSOYBzILt/btXGXXhoSaxivKoUr2L/9VCY+Olx9zU3K3TGaZdQmVP0pIPdLjnT0ZPx8JvoasjHuYUYfTx7f3F2HoT4dhgydYQk/9YfTHSDim+J5jIfojBcQjIq9ZPwyPmkpYCe53NqCI9pq7f+kKK574HWTxKqgQt2LAbKjWKI2Zr/yhUpeLxEzLFmVESLot7YiX2vfu23hWXqi6dO7s1TtTUpToLdVAzO2M33qR3652mXGZgKl0mWpUTwiTZFi7la98vLza+d7aG9KnOpSZdn5jOKEaOdIfObq7PvUqaNBkn8T0nqzZZ04gp6G8kBCV3WutYINMtnsG3cnrTfR+TmueXxkyGcDTKFFT6fmxcBtd24irKkqNdBQsKzhVlaurqFpp4aD9uwD5QhU1I8swEUTCM2UNGoJBErlHHEccQB1kpPKnWvanWxd5hlJZ+u9RAW55wq7uvCcC2Ga0sg1G4ACtq1Q1b7wjWEi8pT88LRExTQ4hhh/99pYyRTk7mPWIb297ouO8WDNKLzY33hJze/LO1kFbASHZnFVqdPqxCwFf99rB9PjLszHyLu3BNAL+2f7b2ZV8l64VdfOWx2/tqD0NJziIbZO/H2NDtfhOsokWy3PPa2O1+RXSNeL4B8EOdpIQxXLdCAnzV2Am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Transform>
          <Transform Algorithm="http://www.w3.org/TR/2001/REC-xml-c14n-20010315"/>
        </Transforms>
        <DigestMethod Algorithm="http://www.w3.org/2001/04/xmlenc#sha256"/>
        <DigestValue>X0zay39lAcy+joH66+NIv7xgenr+10RaM/eMl+BRvHQ=</DigestValue>
      </Reference>
      <Reference URI="/xl/calcChain.xml?ContentType=application/vnd.openxmlformats-officedocument.spreadsheetml.calcChain+xml">
        <DigestMethod Algorithm="http://www.w3.org/2001/04/xmlenc#sha256"/>
        <DigestValue>fbCCk27TLgesV8Jumswwms/ScvHFBkXBn/G77sxlFFA=</DigestValue>
      </Reference>
      <Reference URI="/xl/comments1.xml?ContentType=application/vnd.openxmlformats-officedocument.spreadsheetml.comments+xml">
        <DigestMethod Algorithm="http://www.w3.org/2001/04/xmlenc#sha256"/>
        <DigestValue>qnLCTzD69tBaj2Lsg6Jm3UbqVYuybhe9x6YPjSqAndM=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VB1yhbw7Gmyj1OTWV/qPomHE5sCDThzc5tVRBFnHCxE=</DigestValue>
      </Reference>
      <Reference URI="/xl/drawings/drawing10.xml?ContentType=application/vnd.openxmlformats-officedocument.drawing+xml">
        <DigestMethod Algorithm="http://www.w3.org/2001/04/xmlenc#sha256"/>
        <DigestValue>M4oiLfApTm1N39o9afLSU//tktDlGcZRNaMQ/vN4EGc=</DigestValue>
      </Reference>
      <Reference URI="/xl/drawings/drawing11.xml?ContentType=application/vnd.openxmlformats-officedocument.drawing+xml">
        <DigestMethod Algorithm="http://www.w3.org/2001/04/xmlenc#sha256"/>
        <DigestValue>prfPEyJG3DtmgObLtakRyZJuZNJJLeFlG/6ahj0ufPc=</DigestValue>
      </Reference>
      <Reference URI="/xl/drawings/drawing12.xml?ContentType=application/vnd.openxmlformats-officedocument.drawing+xml">
        <DigestMethod Algorithm="http://www.w3.org/2001/04/xmlenc#sha256"/>
        <DigestValue>ElgOjqForbR9Jj7Zt7qGVL3cWmvs3VwTTyNJTTulAS4=</DigestValue>
      </Reference>
      <Reference URI="/xl/drawings/drawing13.xml?ContentType=application/vnd.openxmlformats-officedocument.drawing+xml">
        <DigestMethod Algorithm="http://www.w3.org/2001/04/xmlenc#sha256"/>
        <DigestValue>VtWEA9TwWheIRgVchVvI6CM7SMKzhtSy2k7QgLYvoTk=</DigestValue>
      </Reference>
      <Reference URI="/xl/drawings/drawing14.xml?ContentType=application/vnd.openxmlformats-officedocument.drawing+xml">
        <DigestMethod Algorithm="http://www.w3.org/2001/04/xmlenc#sha256"/>
        <DigestValue>o4vWr+q2RW9iQTFwwUiTJ0ubucBXzo26t4yUVCKXwXM=</DigestValue>
      </Reference>
      <Reference URI="/xl/drawings/drawing15.xml?ContentType=application/vnd.openxmlformats-officedocument.drawing+xml">
        <DigestMethod Algorithm="http://www.w3.org/2001/04/xmlenc#sha256"/>
        <DigestValue>056Dhz2Aew7MpdfRQvHak4DXlXgi5aFByk7qUF4wJYA=</DigestValue>
      </Reference>
      <Reference URI="/xl/drawings/drawing16.xml?ContentType=application/vnd.openxmlformats-officedocument.drawing+xml">
        <DigestMethod Algorithm="http://www.w3.org/2001/04/xmlenc#sha256"/>
        <DigestValue>zMHuH22+oCni68SSFUYxYmhKueZXWEMG9do+MC0Eo1g=</DigestValue>
      </Reference>
      <Reference URI="/xl/drawings/drawing17.xml?ContentType=application/vnd.openxmlformats-officedocument.drawing+xml">
        <DigestMethod Algorithm="http://www.w3.org/2001/04/xmlenc#sha256"/>
        <DigestValue>9nqJZgfEyar5HjT2Y7nLsiKYudRvQuq6MgfR24amcuk=</DigestValue>
      </Reference>
      <Reference URI="/xl/drawings/drawing18.xml?ContentType=application/vnd.openxmlformats-officedocument.drawing+xml">
        <DigestMethod Algorithm="http://www.w3.org/2001/04/xmlenc#sha256"/>
        <DigestValue>Q2D78Vy8lMSm22nVXp0zSxhBv0lKK2CUlReZQWhzTqM=</DigestValue>
      </Reference>
      <Reference URI="/xl/drawings/drawing2.xml?ContentType=application/vnd.openxmlformats-officedocument.drawing+xml">
        <DigestMethod Algorithm="http://www.w3.org/2001/04/xmlenc#sha256"/>
        <DigestValue>ZkWAY+GEMZkQJlkThNu9CweLsQpYXIdo6nKP0k+dgfw=</DigestValue>
      </Reference>
      <Reference URI="/xl/drawings/drawing3.xml?ContentType=application/vnd.openxmlformats-officedocument.drawing+xml">
        <DigestMethod Algorithm="http://www.w3.org/2001/04/xmlenc#sha256"/>
        <DigestValue>lo5MvWBofZh/a6jv4sAOMgYTu0NdSALZKz25w3P2fkA=</DigestValue>
      </Reference>
      <Reference URI="/xl/drawings/drawing4.xml?ContentType=application/vnd.openxmlformats-officedocument.drawing+xml">
        <DigestMethod Algorithm="http://www.w3.org/2001/04/xmlenc#sha256"/>
        <DigestValue>U8IihizxGs5Wi6xVpShZRXzN2wQW5UlvtawGGRJr2Mw=</DigestValue>
      </Reference>
      <Reference URI="/xl/drawings/drawing5.xml?ContentType=application/vnd.openxmlformats-officedocument.drawing+xml">
        <DigestMethod Algorithm="http://www.w3.org/2001/04/xmlenc#sha256"/>
        <DigestValue>b3O2jx+fjvCMHMwUtwzFIT18QT5gCrFER0iF62SEaRM=</DigestValue>
      </Reference>
      <Reference URI="/xl/drawings/drawing6.xml?ContentType=application/vnd.openxmlformats-officedocument.drawing+xml">
        <DigestMethod Algorithm="http://www.w3.org/2001/04/xmlenc#sha256"/>
        <DigestValue>kBHwS31qQkQKv4z/0liQa0YoIfr1OJbuoxnr4u+SQDc=</DigestValue>
      </Reference>
      <Reference URI="/xl/drawings/drawing7.xml?ContentType=application/vnd.openxmlformats-officedocument.drawing+xml">
        <DigestMethod Algorithm="http://www.w3.org/2001/04/xmlenc#sha256"/>
        <DigestValue>NRydziRWBJXYM+eP3/wYTG0RDyHW1uHj5g1aNMFMP/4=</DigestValue>
      </Reference>
      <Reference URI="/xl/drawings/drawing8.xml?ContentType=application/vnd.openxmlformats-officedocument.drawing+xml">
        <DigestMethod Algorithm="http://www.w3.org/2001/04/xmlenc#sha256"/>
        <DigestValue>rmt1Fqnn7+mfWClI9pVSbi7fyb1z6bNHWQ6w4hUSaRI=</DigestValue>
      </Reference>
      <Reference URI="/xl/drawings/drawing9.xml?ContentType=application/vnd.openxmlformats-officedocument.drawing+xml">
        <DigestMethod Algorithm="http://www.w3.org/2001/04/xmlenc#sha256"/>
        <DigestValue>5zIsuhnzxAAQTb3ay+MBMmh3WQ6SRjJpYK0mvA3naBo=</DigestValue>
      </Reference>
      <Reference URI="/xl/drawings/vmlDrawing1.vml?ContentType=application/vnd.openxmlformats-officedocument.vmlDrawing">
        <DigestMethod Algorithm="http://www.w3.org/2001/04/xmlenc#sha256"/>
        <DigestValue>1Cv4jLy4lSkORB0ljCO0LlC2jTyEYkjoHJbzNB7k2FU=</DigestValue>
      </Reference>
      <Reference URI="/xl/drawings/vmlDrawing2.vml?ContentType=application/vnd.openxmlformats-officedocument.vmlDrawing">
        <DigestMethod Algorithm="http://www.w3.org/2001/04/xmlenc#sha256"/>
        <DigestValue>kZ2At4ohWjbRf1rwdOAhOXoDLmn46JzALr7IZgjWgtQ=</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h9fJY+lBcUFThe4N+TRU6csYQxyixPEAdH89DalYVpk=</DigestValue>
      </Reference>
      <Reference URI="/xl/externalLinks/externalLink1.xml?ContentType=application/vnd.openxmlformats-officedocument.spreadsheetml.externalLink+xml">
        <DigestMethod Algorithm="http://www.w3.org/2001/04/xmlenc#sha256"/>
        <DigestValue>XNhm+qnDqnrk+TkzUVbZvcgQZgfRgS3WiG1HUvsIoYw=</DigestValue>
      </Reference>
      <Reference URI="/xl/media/image1.png?ContentType=image/png">
        <DigestMethod Algorithm="http://www.w3.org/2001/04/xmlenc#sha256"/>
        <DigestValue>K2NW93tqc6EY2IgJTscfZeNC2EdRt9B2kLaU83bJs38=</DigestValue>
      </Reference>
      <Reference URI="/xl/media/image2.emf?ContentType=image/x-emf">
        <DigestMethod Algorithm="http://www.w3.org/2001/04/xmlenc#sha256"/>
        <DigestValue>/v+grmhFBfBgTfoIMzcBl8wLcdRqv+hiYpfqxSdilfU=</DigestValue>
      </Reference>
      <Reference URI="/xl/media/image3.emf?ContentType=image/x-emf">
        <DigestMethod Algorithm="http://www.w3.org/2001/04/xmlenc#sha256"/>
        <DigestValue>yOWUxYJKNMcN7T+amw2f7y9Spnf600L9CCUGUvP+L64=</DigestValue>
      </Reference>
      <Reference URI="/xl/media/image4.emf?ContentType=image/x-emf">
        <DigestMethod Algorithm="http://www.w3.org/2001/04/xmlenc#sha256"/>
        <DigestValue>PmawVfOdCR9JMs4vXg4Qh204dXSfD6x7RaDJaBef41M=</DigestValue>
      </Reference>
      <Reference URI="/xl/media/image5.emf?ContentType=image/x-emf">
        <DigestMethod Algorithm="http://www.w3.org/2001/04/xmlenc#sha256"/>
        <DigestValue>VYTNltr8I9MMEGNv/BDlf4Kk7yMiUNtVWiU8HKGHXWY=</DigestValue>
      </Reference>
      <Reference URI="/xl/media/image6.emf?ContentType=image/x-emf">
        <DigestMethod Algorithm="http://www.w3.org/2001/04/xmlenc#sha256"/>
        <DigestValue>5xjYICeEbpj4VPj/MJE2dSURUuioSFM7/uxzYiBM5Cw=</DigestValue>
      </Reference>
      <Reference URI="/xl/media/image7.png?ContentType=image/png">
        <DigestMethod Algorithm="http://www.w3.org/2001/04/xmlenc#sha256"/>
        <DigestValue>nnykxL6sHYwxaEYN4bNnKlAbSJy2p6Du/3yKaO3Lq0U=</DigestValue>
      </Reference>
      <Reference URI="/xl/printerSettings/printerSettings1.bin?ContentType=application/vnd.openxmlformats-officedocument.spreadsheetml.printerSettings">
        <DigestMethod Algorithm="http://www.w3.org/2001/04/xmlenc#sha256"/>
        <DigestValue>nJAHBoN2Wdd9B+xnkmN0ykoUgt2u5nrsxBIkEuDEWMI=</DigestValue>
      </Reference>
      <Reference URI="/xl/printerSettings/printerSettings10.bin?ContentType=application/vnd.openxmlformats-officedocument.spreadsheetml.printerSettings">
        <DigestMethod Algorithm="http://www.w3.org/2001/04/xmlenc#sha256"/>
        <DigestValue>ye0ygCp8mAHhrxXVqmrSxJPdXaRWG+7cYDv9YXcB6gc=</DigestValue>
      </Reference>
      <Reference URI="/xl/printerSettings/printerSettings11.bin?ContentType=application/vnd.openxmlformats-officedocument.spreadsheetml.printerSettings">
        <DigestMethod Algorithm="http://www.w3.org/2001/04/xmlenc#sha256"/>
        <DigestValue>ye0ygCp8mAHhrxXVqmrSxJPdXaRWG+7cYDv9YXcB6gc=</DigestValue>
      </Reference>
      <Reference URI="/xl/printerSettings/printerSettings12.bin?ContentType=application/vnd.openxmlformats-officedocument.spreadsheetml.printerSettings">
        <DigestMethod Algorithm="http://www.w3.org/2001/04/xmlenc#sha256"/>
        <DigestValue>1/ZWSL2z/rx8MILo7VSKeZ2fxt90tdO1+d177mn/62I=</DigestValue>
      </Reference>
      <Reference URI="/xl/printerSettings/printerSettings13.bin?ContentType=application/vnd.openxmlformats-officedocument.spreadsheetml.printerSettings">
        <DigestMethod Algorithm="http://www.w3.org/2001/04/xmlenc#sha256"/>
        <DigestValue>89nBNtWGa+e+nMBZt/vG241JYMcErfk0lLyizJbX5DQ=</DigestValue>
      </Reference>
      <Reference URI="/xl/printerSettings/printerSettings14.bin?ContentType=application/vnd.openxmlformats-officedocument.spreadsheetml.printerSettings">
        <DigestMethod Algorithm="http://www.w3.org/2001/04/xmlenc#sha256"/>
        <DigestValue>89nBNtWGa+e+nMBZt/vG241JYMcErfk0lLyizJbX5DQ=</DigestValue>
      </Reference>
      <Reference URI="/xl/printerSettings/printerSettings15.bin?ContentType=application/vnd.openxmlformats-officedocument.spreadsheetml.printerSettings">
        <DigestMethod Algorithm="http://www.w3.org/2001/04/xmlenc#sha256"/>
        <DigestValue>ye0ygCp8mAHhrxXVqmrSxJPdXaRWG+7cYDv9YXcB6gc=</DigestValue>
      </Reference>
      <Reference URI="/xl/printerSettings/printerSettings16.bin?ContentType=application/vnd.openxmlformats-officedocument.spreadsheetml.printerSettings">
        <DigestMethod Algorithm="http://www.w3.org/2001/04/xmlenc#sha256"/>
        <DigestValue>zHpi8B/AzGRLezKgmRPAVYXkZ0umem7y+NaskYMBbNo=</DigestValue>
      </Reference>
      <Reference URI="/xl/printerSettings/printerSettings17.bin?ContentType=application/vnd.openxmlformats-officedocument.spreadsheetml.printerSettings">
        <DigestMethod Algorithm="http://www.w3.org/2001/04/xmlenc#sha256"/>
        <DigestValue>ye0ygCp8mAHhrxXVqmrSxJPdXaRWG+7cYDv9YXcB6gc=</DigestValue>
      </Reference>
      <Reference URI="/xl/printerSettings/printerSettings18.bin?ContentType=application/vnd.openxmlformats-officedocument.spreadsheetml.printerSettings">
        <DigestMethod Algorithm="http://www.w3.org/2001/04/xmlenc#sha256"/>
        <DigestValue>zHpi8B/AzGRLezKgmRPAVYXkZ0umem7y+NaskYMBbNo=</DigestValue>
      </Reference>
      <Reference URI="/xl/printerSettings/printerSettings19.bin?ContentType=application/vnd.openxmlformats-officedocument.spreadsheetml.printerSettings">
        <DigestMethod Algorithm="http://www.w3.org/2001/04/xmlenc#sha256"/>
        <DigestValue>j2fyYiYEDbsNOQmjBcY1ZN1XHPKd9g1sTClCpHYJTxw=</DigestValue>
      </Reference>
      <Reference URI="/xl/printerSettings/printerSettings2.bin?ContentType=application/vnd.openxmlformats-officedocument.spreadsheetml.printerSettings">
        <DigestMethod Algorithm="http://www.w3.org/2001/04/xmlenc#sha256"/>
        <DigestValue>1/ZWSL2z/rx8MILo7VSKeZ2fxt90tdO1+d177mn/62I=</DigestValue>
      </Reference>
      <Reference URI="/xl/printerSettings/printerSettings20.bin?ContentType=application/vnd.openxmlformats-officedocument.spreadsheetml.printerSettings">
        <DigestMethod Algorithm="http://www.w3.org/2001/04/xmlenc#sha256"/>
        <DigestValue>ye0ygCp8mAHhrxXVqmrSxJPdXaRWG+7cYDv9YXcB6gc=</DigestValue>
      </Reference>
      <Reference URI="/xl/printerSettings/printerSettings21.bin?ContentType=application/vnd.openxmlformats-officedocument.spreadsheetml.printerSettings">
        <DigestMethod Algorithm="http://www.w3.org/2001/04/xmlenc#sha256"/>
        <DigestValue>1/ZWSL2z/rx8MILo7VSKeZ2fxt90tdO1+d177mn/62I=</DigestValue>
      </Reference>
      <Reference URI="/xl/printerSettings/printerSettings22.bin?ContentType=application/vnd.openxmlformats-officedocument.spreadsheetml.printerSettings">
        <DigestMethod Algorithm="http://www.w3.org/2001/04/xmlenc#sha256"/>
        <DigestValue>1/ZWSL2z/rx8MILo7VSKeZ2fxt90tdO1+d177mn/62I=</DigestValue>
      </Reference>
      <Reference URI="/xl/printerSettings/printerSettings23.bin?ContentType=application/vnd.openxmlformats-officedocument.spreadsheetml.printerSettings">
        <DigestMethod Algorithm="http://www.w3.org/2001/04/xmlenc#sha256"/>
        <DigestValue>1/ZWSL2z/rx8MILo7VSKeZ2fxt90tdO1+d177mn/62I=</DigestValue>
      </Reference>
      <Reference URI="/xl/printerSettings/printerSettings24.bin?ContentType=application/vnd.openxmlformats-officedocument.spreadsheetml.printerSettings">
        <DigestMethod Algorithm="http://www.w3.org/2001/04/xmlenc#sha256"/>
        <DigestValue>89nBNtWGa+e+nMBZt/vG241JYMcErfk0lLyizJbX5DQ=</DigestValue>
      </Reference>
      <Reference URI="/xl/printerSettings/printerSettings25.bin?ContentType=application/vnd.openxmlformats-officedocument.spreadsheetml.printerSettings">
        <DigestMethod Algorithm="http://www.w3.org/2001/04/xmlenc#sha256"/>
        <DigestValue>1/ZWSL2z/rx8MILo7VSKeZ2fxt90tdO1+d177mn/62I=</DigestValue>
      </Reference>
      <Reference URI="/xl/printerSettings/printerSettings26.bin?ContentType=application/vnd.openxmlformats-officedocument.spreadsheetml.printerSettings">
        <DigestMethod Algorithm="http://www.w3.org/2001/04/xmlenc#sha256"/>
        <DigestValue>ye0ygCp8mAHhrxXVqmrSxJPdXaRWG+7cYDv9YXcB6gc=</DigestValue>
      </Reference>
      <Reference URI="/xl/printerSettings/printerSettings27.bin?ContentType=application/vnd.openxmlformats-officedocument.spreadsheetml.printerSettings">
        <DigestMethod Algorithm="http://www.w3.org/2001/04/xmlenc#sha256"/>
        <DigestValue>ye0ygCp8mAHhrxXVqmrSxJPdXaRWG+7cYDv9YXcB6gc=</DigestValue>
      </Reference>
      <Reference URI="/xl/printerSettings/printerSettings28.bin?ContentType=application/vnd.openxmlformats-officedocument.spreadsheetml.printerSettings">
        <DigestMethod Algorithm="http://www.w3.org/2001/04/xmlenc#sha256"/>
        <DigestValue>uaG0dKgP9fdq5dc9SKOxsjO6aFrN5Az1VSB0/pJmHOY=</DigestValue>
      </Reference>
      <Reference URI="/xl/printerSettings/printerSettings29.bin?ContentType=application/vnd.openxmlformats-officedocument.spreadsheetml.printerSettings">
        <DigestMethod Algorithm="http://www.w3.org/2001/04/xmlenc#sha256"/>
        <DigestValue>1/ZWSL2z/rx8MILo7VSKeZ2fxt90tdO1+d177mn/62I=</DigestValue>
      </Reference>
      <Reference URI="/xl/printerSettings/printerSettings3.bin?ContentType=application/vnd.openxmlformats-officedocument.spreadsheetml.printerSettings">
        <DigestMethod Algorithm="http://www.w3.org/2001/04/xmlenc#sha256"/>
        <DigestValue>1/ZWSL2z/rx8MILo7VSKeZ2fxt90tdO1+d177mn/62I=</DigestValue>
      </Reference>
      <Reference URI="/xl/printerSettings/printerSettings30.bin?ContentType=application/vnd.openxmlformats-officedocument.spreadsheetml.printerSettings">
        <DigestMethod Algorithm="http://www.w3.org/2001/04/xmlenc#sha256"/>
        <DigestValue>nJAHBoN2Wdd9B+xnkmN0ykoUgt2u5nrsxBIkEuDEWMI=</DigestValue>
      </Reference>
      <Reference URI="/xl/printerSettings/printerSettings31.bin?ContentType=application/vnd.openxmlformats-officedocument.spreadsheetml.printerSettings">
        <DigestMethod Algorithm="http://www.w3.org/2001/04/xmlenc#sha256"/>
        <DigestValue>PKvbYuXDtz2QckuDs7cNpUQNkkCqcuMyB+0oxE8UEtI=</DigestValue>
      </Reference>
      <Reference URI="/xl/printerSettings/printerSettings32.bin?ContentType=application/vnd.openxmlformats-officedocument.spreadsheetml.printerSettings">
        <DigestMethod Algorithm="http://www.w3.org/2001/04/xmlenc#sha256"/>
        <DigestValue>ye0ygCp8mAHhrxXVqmrSxJPdXaRWG+7cYDv9YXcB6gc=</DigestValue>
      </Reference>
      <Reference URI="/xl/printerSettings/printerSettings33.bin?ContentType=application/vnd.openxmlformats-officedocument.spreadsheetml.printerSettings">
        <DigestMethod Algorithm="http://www.w3.org/2001/04/xmlenc#sha256"/>
        <DigestValue>89nBNtWGa+e+nMBZt/vG241JYMcErfk0lLyizJbX5DQ=</DigestValue>
      </Reference>
      <Reference URI="/xl/printerSettings/printerSettings34.bin?ContentType=application/vnd.openxmlformats-officedocument.spreadsheetml.printerSettings">
        <DigestMethod Algorithm="http://www.w3.org/2001/04/xmlenc#sha256"/>
        <DigestValue>1/ZWSL2z/rx8MILo7VSKeZ2fxt90tdO1+d177mn/62I=</DigestValue>
      </Reference>
      <Reference URI="/xl/printerSettings/printerSettings35.bin?ContentType=application/vnd.openxmlformats-officedocument.spreadsheetml.printerSettings">
        <DigestMethod Algorithm="http://www.w3.org/2001/04/xmlenc#sha256"/>
        <DigestValue>1/ZWSL2z/rx8MILo7VSKeZ2fxt90tdO1+d177mn/62I=</DigestValue>
      </Reference>
      <Reference URI="/xl/printerSettings/printerSettings36.bin?ContentType=application/vnd.openxmlformats-officedocument.spreadsheetml.printerSettings">
        <DigestMethod Algorithm="http://www.w3.org/2001/04/xmlenc#sha256"/>
        <DigestValue>PKvbYuXDtz2QckuDs7cNpUQNkkCqcuMyB+0oxE8UEtI=</DigestValue>
      </Reference>
      <Reference URI="/xl/printerSettings/printerSettings37.bin?ContentType=application/vnd.openxmlformats-officedocument.spreadsheetml.printerSettings">
        <DigestMethod Algorithm="http://www.w3.org/2001/04/xmlenc#sha256"/>
        <DigestValue>1/ZWSL2z/rx8MILo7VSKeZ2fxt90tdO1+d177mn/62I=</DigestValue>
      </Reference>
      <Reference URI="/xl/printerSettings/printerSettings38.bin?ContentType=application/vnd.openxmlformats-officedocument.spreadsheetml.printerSettings">
        <DigestMethod Algorithm="http://www.w3.org/2001/04/xmlenc#sha256"/>
        <DigestValue>uaG0dKgP9fdq5dc9SKOxsjO6aFrN5Az1VSB0/pJmHOY=</DigestValue>
      </Reference>
      <Reference URI="/xl/printerSettings/printerSettings39.bin?ContentType=application/vnd.openxmlformats-officedocument.spreadsheetml.printerSettings">
        <DigestMethod Algorithm="http://www.w3.org/2001/04/xmlenc#sha256"/>
        <DigestValue>1/ZWSL2z/rx8MILo7VSKeZ2fxt90tdO1+d177mn/62I=</DigestValue>
      </Reference>
      <Reference URI="/xl/printerSettings/printerSettings4.bin?ContentType=application/vnd.openxmlformats-officedocument.spreadsheetml.printerSettings">
        <DigestMethod Algorithm="http://www.w3.org/2001/04/xmlenc#sha256"/>
        <DigestValue>89nBNtWGa+e+nMBZt/vG241JYMcErfk0lLyizJbX5DQ=</DigestValue>
      </Reference>
      <Reference URI="/xl/printerSettings/printerSettings40.bin?ContentType=application/vnd.openxmlformats-officedocument.spreadsheetml.printerSettings">
        <DigestMethod Algorithm="http://www.w3.org/2001/04/xmlenc#sha256"/>
        <DigestValue>nJAHBoN2Wdd9B+xnkmN0ykoUgt2u5nrsxBIkEuDEWMI=</DigestValue>
      </Reference>
      <Reference URI="/xl/printerSettings/printerSettings41.bin?ContentType=application/vnd.openxmlformats-officedocument.spreadsheetml.printerSettings">
        <DigestMethod Algorithm="http://www.w3.org/2001/04/xmlenc#sha256"/>
        <DigestValue>zHpi8B/AzGRLezKgmRPAVYXkZ0umem7y+NaskYMBbNo=</DigestValue>
      </Reference>
      <Reference URI="/xl/printerSettings/printerSettings42.bin?ContentType=application/vnd.openxmlformats-officedocument.spreadsheetml.printerSettings">
        <DigestMethod Algorithm="http://www.w3.org/2001/04/xmlenc#sha256"/>
        <DigestValue>1/ZWSL2z/rx8MILo7VSKeZ2fxt90tdO1+d177mn/62I=</DigestValue>
      </Reference>
      <Reference URI="/xl/printerSettings/printerSettings43.bin?ContentType=application/vnd.openxmlformats-officedocument.spreadsheetml.printerSettings">
        <DigestMethod Algorithm="http://www.w3.org/2001/04/xmlenc#sha256"/>
        <DigestValue>zHpi8B/AzGRLezKgmRPAVYXkZ0umem7y+NaskYMBbNo=</DigestValue>
      </Reference>
      <Reference URI="/xl/printerSettings/printerSettings44.bin?ContentType=application/vnd.openxmlformats-officedocument.spreadsheetml.printerSettings">
        <DigestMethod Algorithm="http://www.w3.org/2001/04/xmlenc#sha256"/>
        <DigestValue>zHpi8B/AzGRLezKgmRPAVYXkZ0umem7y+NaskYMBbNo=</DigestValue>
      </Reference>
      <Reference URI="/xl/printerSettings/printerSettings45.bin?ContentType=application/vnd.openxmlformats-officedocument.spreadsheetml.printerSettings">
        <DigestMethod Algorithm="http://www.w3.org/2001/04/xmlenc#sha256"/>
        <DigestValue>PKvbYuXDtz2QckuDs7cNpUQNkkCqcuMyB+0oxE8UEtI=</DigestValue>
      </Reference>
      <Reference URI="/xl/printerSettings/printerSettings46.bin?ContentType=application/vnd.openxmlformats-officedocument.spreadsheetml.printerSettings">
        <DigestMethod Algorithm="http://www.w3.org/2001/04/xmlenc#sha256"/>
        <DigestValue>PKvbYuXDtz2QckuDs7cNpUQNkkCqcuMyB+0oxE8UEtI=</DigestValue>
      </Reference>
      <Reference URI="/xl/printerSettings/printerSettings5.bin?ContentType=application/vnd.openxmlformats-officedocument.spreadsheetml.printerSettings">
        <DigestMethod Algorithm="http://www.w3.org/2001/04/xmlenc#sha256"/>
        <DigestValue>SK3ve5YjWvCu/bPgXnCB+vXPOFLwdezqOIyUlNYX1Rs=</DigestValue>
      </Reference>
      <Reference URI="/xl/printerSettings/printerSettings6.bin?ContentType=application/vnd.openxmlformats-officedocument.spreadsheetml.printerSettings">
        <DigestMethod Algorithm="http://www.w3.org/2001/04/xmlenc#sha256"/>
        <DigestValue>ye0ygCp8mAHhrxXVqmrSxJPdXaRWG+7cYDv9YXcB6gc=</DigestValue>
      </Reference>
      <Reference URI="/xl/printerSettings/printerSettings7.bin?ContentType=application/vnd.openxmlformats-officedocument.spreadsheetml.printerSettings">
        <DigestMethod Algorithm="http://www.w3.org/2001/04/xmlenc#sha256"/>
        <DigestValue>eREZYrwMnkZvA29/8E4+7aeM8YqNhZtvIilWyIDfBbU=</DigestValue>
      </Reference>
      <Reference URI="/xl/printerSettings/printerSettings8.bin?ContentType=application/vnd.openxmlformats-officedocument.spreadsheetml.printerSettings">
        <DigestMethod Algorithm="http://www.w3.org/2001/04/xmlenc#sha256"/>
        <DigestValue>ye0ygCp8mAHhrxXVqmrSxJPdXaRWG+7cYDv9YXcB6gc=</DigestValue>
      </Reference>
      <Reference URI="/xl/printerSettings/printerSettings9.bin?ContentType=application/vnd.openxmlformats-officedocument.spreadsheetml.printerSettings">
        <DigestMethod Algorithm="http://www.w3.org/2001/04/xmlenc#sha256"/>
        <DigestValue>ye0ygCp8mAHhrxXVqmrSxJPdXaRWG+7cYDv9YXcB6gc=</DigestValue>
      </Reference>
      <Reference URI="/xl/sharedStrings.xml?ContentType=application/vnd.openxmlformats-officedocument.spreadsheetml.sharedStrings+xml">
        <DigestMethod Algorithm="http://www.w3.org/2001/04/xmlenc#sha256"/>
        <DigestValue>B1bZpjOBGENlWdWX2UMbYB2PpQYK2vFXnWQRur+zoPU=</DigestValue>
      </Reference>
      <Reference URI="/xl/styles.xml?ContentType=application/vnd.openxmlformats-officedocument.spreadsheetml.styles+xml">
        <DigestMethod Algorithm="http://www.w3.org/2001/04/xmlenc#sha256"/>
        <DigestValue>UR5/yYnoSV3ME6e901pEWZ8xoyW5mT2e2Jz6epQkBJo=</DigestValue>
      </Reference>
      <Reference URI="/xl/theme/theme1.xml?ContentType=application/vnd.openxmlformats-officedocument.theme+xml">
        <DigestMethod Algorithm="http://www.w3.org/2001/04/xmlenc#sha256"/>
        <DigestValue>9ZDC2JufYryaQksRfNXU723Z+OanJ/58pfsnHEq2DUE=</DigestValue>
      </Reference>
      <Reference URI="/xl/workbook.xml?ContentType=application/vnd.openxmlformats-officedocument.spreadsheetml.sheet.main+xml">
        <DigestMethod Algorithm="http://www.w3.org/2001/04/xmlenc#sha256"/>
        <DigestValue>rN6Ms0R2JZh/5uGW3D/Le9/dFVDmZUXSjGlF8lqzEms=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OG64TWTD7j+T6XEgwX6U1t2JQ9uBwF5JfRZ27xxpJ+w=</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aYXRgcDQ1Zc3QOfgyhqLIFev18/0l/S8gnTb1puzGIU=</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a44YNjtiym0S9exNLLrYg/u0IjW9EHsUCQlLPMlbO/o=</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HdiCc2p1UdKZddbHWP2HyFRaoEzeashVOh5eS2LOudg=</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7KnOMn7UlXli3Jy1eYmN5veK0HI9TOlohTDdyttJaLI=</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oCA/gRRRvc+jJc1iCaZLWrOziIRnDRXjxvYvv33q2GU=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w9kJgC3POm8IXkF8apaHYpiB7UgESnMvh8+REVGXmoc=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M1DPmTSPxL6pjK6Hlh39zRu5bD4dygfn4SBqudnogyE=</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aUH3EIC3LJ1WlPFqNXrO/jOyW/nktb+VO6C48U39/oI=</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k432tqojAmZglSJMpQHY06sOwkUHw93eXxXEqXwyorw=</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xwsv2H/gebHOpn0u17DPxoNhPhoF79jqTl8wgDpXcoc=</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tDoQKO/BkLp4kR3UztCc7PA22VmRNizbvJ+5Z2HWEFU=</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rLdvf3yY2ekrKu60idP2MsLKORy6SOjqi0FnsyMynGM=</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0k9F14bi/16tdQhj4IyNfKjYKY/Wxdjc6uOJZt2NSFQ=</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IgAbisjOm+Z/o4medQzuRzY+pxXjrkDU9o+AIfBQFik=</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k1lyfwqmmD/+IoVTg0kz9LzXUr1Uk3Si/nXVc+rnGMI=</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in1AbNBHz/S0qRwmZrYRmD6KDCBFiMU7ahORI/fscjY=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Cp9PA/EMUCmFN0rjs+ZKFhODDEGzJl8Ch1IdmuYTIUc=</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3iS29RgGizUTgmtBni8degzLfqWHy2uN4AVjRehr32M=</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nE0f+bF4IP96+tRIO9//VfSQTMl2/L1srvLlnHh7IeU=</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yLbFZOaatprfLLCZ68UZZxklXbzIrPkQXwNXZh1aUe4=</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I/R5yBYm6QMCUJuO8adD1NqOmD8fFhRangLh6nczLNQ=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2ftlSe7ENmwNdQ2MT4KexOA7ta+EHJXAokRQ/Sbe+To=</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0Bnugy7bzitJja739ggKaHQvkr3zKO9A9jpqBY3DiaI=</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82V9aXy3uiUF6h1goyLp993S42PSVT9uLFPxLc8qapo=</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1s/0Bn5zbBkiPy5hlL8rDE6/bmHjfNkm2MgsRuE+aR4=</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7/nemkTZSr1q715vAnYThMf5LzqTkmT+F+jq4QRqzpc=</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OwLohzYa4yen+N/yh2Zb+LLn80QJzm2nQIKSJKSFB/8=</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Y09xDoIGSmpx0MjWTeeEB8jIZEw0AQth19CsyTGwE8w=</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RofjFfDGEQEcA4cUnvodX7beZGieR+bW06/zJsc/T9U=</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1HjkxtgHDD2Y4CVW+ZVs76QTr049Upzf5O5AkLJUa4c=</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6Bbz0o48hzTUTtF6fo4ewGqu0GdHL0idXEEWlAzVmQ4=</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OsJnUIw8ZJm/JrtcL/mX12XnIt31BUOzLCNpse9AlCc=</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Jqu8TGjuincglhnXIRPw5rTdx9ds1e5FUfNPGK7lUxY=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FTLUZSzyPImP/h/5pTtmsiVav3XAxsSoaQXEM6xZNng=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eulYRWlfdY6JQDzO5q0VKDizVJzlUVk+OB91z40Pthc=</DigestValue>
      </Reference>
      <Reference URI="/xl/worksheets/sheet10.xml?ContentType=application/vnd.openxmlformats-officedocument.spreadsheetml.worksheet+xml">
        <DigestMethod Algorithm="http://www.w3.org/2001/04/xmlenc#sha256"/>
        <DigestValue>AIE9Lalx6Y4ebUi5fwWWxsNacrvlRXHgA2Ar20aJEe8=</DigestValue>
      </Reference>
      <Reference URI="/xl/worksheets/sheet11.xml?ContentType=application/vnd.openxmlformats-officedocument.spreadsheetml.worksheet+xml">
        <DigestMethod Algorithm="http://www.w3.org/2001/04/xmlenc#sha256"/>
        <DigestValue>CuDJZXk6/XBQ1lqj970pNbK2Q1byscVdW4t45woilW4=</DigestValue>
      </Reference>
      <Reference URI="/xl/worksheets/sheet12.xml?ContentType=application/vnd.openxmlformats-officedocument.spreadsheetml.worksheet+xml">
        <DigestMethod Algorithm="http://www.w3.org/2001/04/xmlenc#sha256"/>
        <DigestValue>Hvl/uayR/bEVInvVyD8SICQtSzvaC/OkuxdsCQYlWA4=</DigestValue>
      </Reference>
      <Reference URI="/xl/worksheets/sheet13.xml?ContentType=application/vnd.openxmlformats-officedocument.spreadsheetml.worksheet+xml">
        <DigestMethod Algorithm="http://www.w3.org/2001/04/xmlenc#sha256"/>
        <DigestValue>lRHRuiCXFHqCE0gj//m9MdLGI6zgfZSXvPoqsxTYlvQ=</DigestValue>
      </Reference>
      <Reference URI="/xl/worksheets/sheet14.xml?ContentType=application/vnd.openxmlformats-officedocument.spreadsheetml.worksheet+xml">
        <DigestMethod Algorithm="http://www.w3.org/2001/04/xmlenc#sha256"/>
        <DigestValue>NqergfGY08S5/dIu/cC8kRmFg/56AhfYwwbcF82fDyA=</DigestValue>
      </Reference>
      <Reference URI="/xl/worksheets/sheet15.xml?ContentType=application/vnd.openxmlformats-officedocument.spreadsheetml.worksheet+xml">
        <DigestMethod Algorithm="http://www.w3.org/2001/04/xmlenc#sha256"/>
        <DigestValue>xwo6wv4YuxbXuBDFy29E44NUjZHH71ugavQjnoWSSAo=</DigestValue>
      </Reference>
      <Reference URI="/xl/worksheets/sheet16.xml?ContentType=application/vnd.openxmlformats-officedocument.spreadsheetml.worksheet+xml">
        <DigestMethod Algorithm="http://www.w3.org/2001/04/xmlenc#sha256"/>
        <DigestValue>WZIgPu3yGpIXX7gHru0VvQLmpERpU0I0N8bUUxRd1Jc=</DigestValue>
      </Reference>
      <Reference URI="/xl/worksheets/sheet17.xml?ContentType=application/vnd.openxmlformats-officedocument.spreadsheetml.worksheet+xml">
        <DigestMethod Algorithm="http://www.w3.org/2001/04/xmlenc#sha256"/>
        <DigestValue>F7fXwSSdHtzB/v+8sdeSM/Aa2dxmftgDm3pQurCq3Ic=</DigestValue>
      </Reference>
      <Reference URI="/xl/worksheets/sheet18.xml?ContentType=application/vnd.openxmlformats-officedocument.spreadsheetml.worksheet+xml">
        <DigestMethod Algorithm="http://www.w3.org/2001/04/xmlenc#sha256"/>
        <DigestValue>omlPsMfD2qtyiWh3IZkgjY9bAooYUWGOrzhnGhzKAWc=</DigestValue>
      </Reference>
      <Reference URI="/xl/worksheets/sheet19.xml?ContentType=application/vnd.openxmlformats-officedocument.spreadsheetml.worksheet+xml">
        <DigestMethod Algorithm="http://www.w3.org/2001/04/xmlenc#sha256"/>
        <DigestValue>UWOc/phmKOa3xvS/TW0k6x2Ec8jaXocPlm92ijt+HiU=</DigestValue>
      </Reference>
      <Reference URI="/xl/worksheets/sheet2.xml?ContentType=application/vnd.openxmlformats-officedocument.spreadsheetml.worksheet+xml">
        <DigestMethod Algorithm="http://www.w3.org/2001/04/xmlenc#sha256"/>
        <DigestValue>MGlijvdnhc39Pvlkl5c6Nkwxn2XtKaMWvkzHNPlt82U=</DigestValue>
      </Reference>
      <Reference URI="/xl/worksheets/sheet20.xml?ContentType=application/vnd.openxmlformats-officedocument.spreadsheetml.worksheet+xml">
        <DigestMethod Algorithm="http://www.w3.org/2001/04/xmlenc#sha256"/>
        <DigestValue>UTwzTQxN8YOjCAswdZMJDM6oUd1rujjiqDhLsT1w0ME=</DigestValue>
      </Reference>
      <Reference URI="/xl/worksheets/sheet21.xml?ContentType=application/vnd.openxmlformats-officedocument.spreadsheetml.worksheet+xml">
        <DigestMethod Algorithm="http://www.w3.org/2001/04/xmlenc#sha256"/>
        <DigestValue>cOnPOmJ6K44GWZceadr/dEEvbw3HONesToJmtwQHMdk=</DigestValue>
      </Reference>
      <Reference URI="/xl/worksheets/sheet22.xml?ContentType=application/vnd.openxmlformats-officedocument.spreadsheetml.worksheet+xml">
        <DigestMethod Algorithm="http://www.w3.org/2001/04/xmlenc#sha256"/>
        <DigestValue>PE65N6vhlhOfEJle7XRp3hle7sKhyNL43tMy9AE8MRA=</DigestValue>
      </Reference>
      <Reference URI="/xl/worksheets/sheet23.xml?ContentType=application/vnd.openxmlformats-officedocument.spreadsheetml.worksheet+xml">
        <DigestMethod Algorithm="http://www.w3.org/2001/04/xmlenc#sha256"/>
        <DigestValue>87HWAcvX8rRC/Kzjxd8lFiqk0YvqWqarG82a0CbrvTI=</DigestValue>
      </Reference>
      <Reference URI="/xl/worksheets/sheet24.xml?ContentType=application/vnd.openxmlformats-officedocument.spreadsheetml.worksheet+xml">
        <DigestMethod Algorithm="http://www.w3.org/2001/04/xmlenc#sha256"/>
        <DigestValue>2F/pd03FbRsoE/+KPF6RneP8Ma4kKOwmrk15FBxU0kc=</DigestValue>
      </Reference>
      <Reference URI="/xl/worksheets/sheet25.xml?ContentType=application/vnd.openxmlformats-officedocument.spreadsheetml.worksheet+xml">
        <DigestMethod Algorithm="http://www.w3.org/2001/04/xmlenc#sha256"/>
        <DigestValue>YsHKIr2dBrV96KvQ04Jbtqo9tbhjLVgT4w8GED8Spl8=</DigestValue>
      </Reference>
      <Reference URI="/xl/worksheets/sheet26.xml?ContentType=application/vnd.openxmlformats-officedocument.spreadsheetml.worksheet+xml">
        <DigestMethod Algorithm="http://www.w3.org/2001/04/xmlenc#sha256"/>
        <DigestValue>WjKTCj/qPPzpVOqSsdfcvtSQycp2DsTG0/0yKzppztQ=</DigestValue>
      </Reference>
      <Reference URI="/xl/worksheets/sheet27.xml?ContentType=application/vnd.openxmlformats-officedocument.spreadsheetml.worksheet+xml">
        <DigestMethod Algorithm="http://www.w3.org/2001/04/xmlenc#sha256"/>
        <DigestValue>qASykL3bGlUWMx83Sf/k1lW59nsi3Yv3GmEOAgGQfZY=</DigestValue>
      </Reference>
      <Reference URI="/xl/worksheets/sheet28.xml?ContentType=application/vnd.openxmlformats-officedocument.spreadsheetml.worksheet+xml">
        <DigestMethod Algorithm="http://www.w3.org/2001/04/xmlenc#sha256"/>
        <DigestValue>0H/Ou850X2dN/zZwmTxEyz2zn/LZYqc6mNdNmjUlhG0=</DigestValue>
      </Reference>
      <Reference URI="/xl/worksheets/sheet29.xml?ContentType=application/vnd.openxmlformats-officedocument.spreadsheetml.worksheet+xml">
        <DigestMethod Algorithm="http://www.w3.org/2001/04/xmlenc#sha256"/>
        <DigestValue>A4IICHEHr/QM79ZcYg11p9uE0gYBZlhb6Q+THPOtT9A=</DigestValue>
      </Reference>
      <Reference URI="/xl/worksheets/sheet3.xml?ContentType=application/vnd.openxmlformats-officedocument.spreadsheetml.worksheet+xml">
        <DigestMethod Algorithm="http://www.w3.org/2001/04/xmlenc#sha256"/>
        <DigestValue>4Q0udzkgNXJsTJ56IAD6NWGyDz7NPy5ZEjEMzCXFNqA=</DigestValue>
      </Reference>
      <Reference URI="/xl/worksheets/sheet30.xml?ContentType=application/vnd.openxmlformats-officedocument.spreadsheetml.worksheet+xml">
        <DigestMethod Algorithm="http://www.w3.org/2001/04/xmlenc#sha256"/>
        <DigestValue>pbkk3SUqOi3sIQ6/rOLiVH6xG2DrUtXzS4IuxWC8QWs=</DigestValue>
      </Reference>
      <Reference URI="/xl/worksheets/sheet31.xml?ContentType=application/vnd.openxmlformats-officedocument.spreadsheetml.worksheet+xml">
        <DigestMethod Algorithm="http://www.w3.org/2001/04/xmlenc#sha256"/>
        <DigestValue>ngkite/ILMUk5AIVYzOV/XsCJhQ2U9w3D8cfAR4x1D8=</DigestValue>
      </Reference>
      <Reference URI="/xl/worksheets/sheet32.xml?ContentType=application/vnd.openxmlformats-officedocument.spreadsheetml.worksheet+xml">
        <DigestMethod Algorithm="http://www.w3.org/2001/04/xmlenc#sha256"/>
        <DigestValue>yqk47wmQnrsX+1h2Q8GsZE93h7IEClMzUJHDUhf4hfY=</DigestValue>
      </Reference>
      <Reference URI="/xl/worksheets/sheet33.xml?ContentType=application/vnd.openxmlformats-officedocument.spreadsheetml.worksheet+xml">
        <DigestMethod Algorithm="http://www.w3.org/2001/04/xmlenc#sha256"/>
        <DigestValue>/jVFQD1qG2N+lhorqWU7nl9v8bCsAisJ9Ac/gutdCpo=</DigestValue>
      </Reference>
      <Reference URI="/xl/worksheets/sheet34.xml?ContentType=application/vnd.openxmlformats-officedocument.spreadsheetml.worksheet+xml">
        <DigestMethod Algorithm="http://www.w3.org/2001/04/xmlenc#sha256"/>
        <DigestValue>+ffv7htiVUXUxbUQbM93Zeupg37xjLdr56EGAw3VUrA=</DigestValue>
      </Reference>
      <Reference URI="/xl/worksheets/sheet35.xml?ContentType=application/vnd.openxmlformats-officedocument.spreadsheetml.worksheet+xml">
        <DigestMethod Algorithm="http://www.w3.org/2001/04/xmlenc#sha256"/>
        <DigestValue>Ut89VO05itATvizdEH7BhhHEC+7QJ+dBJ9+6OuH69ho=</DigestValue>
      </Reference>
      <Reference URI="/xl/worksheets/sheet36.xml?ContentType=application/vnd.openxmlformats-officedocument.spreadsheetml.worksheet+xml">
        <DigestMethod Algorithm="http://www.w3.org/2001/04/xmlenc#sha256"/>
        <DigestValue>dA0mjxl3jU2/2APsZJXHF9UnqLhw+LJGj94vP7vJVYk=</DigestValue>
      </Reference>
      <Reference URI="/xl/worksheets/sheet37.xml?ContentType=application/vnd.openxmlformats-officedocument.spreadsheetml.worksheet+xml">
        <DigestMethod Algorithm="http://www.w3.org/2001/04/xmlenc#sha256"/>
        <DigestValue>9uxGy15Zr/KZtQduegUkqH+AD+J2by56lFqGCT6pUfg=</DigestValue>
      </Reference>
      <Reference URI="/xl/worksheets/sheet38.xml?ContentType=application/vnd.openxmlformats-officedocument.spreadsheetml.worksheet+xml">
        <DigestMethod Algorithm="http://www.w3.org/2001/04/xmlenc#sha256"/>
        <DigestValue>ACJsDNYI/LufmFIJ4ZqEROuZHyg82ITzjH/HEPDHoo8=</DigestValue>
      </Reference>
      <Reference URI="/xl/worksheets/sheet39.xml?ContentType=application/vnd.openxmlformats-officedocument.spreadsheetml.worksheet+xml">
        <DigestMethod Algorithm="http://www.w3.org/2001/04/xmlenc#sha256"/>
        <DigestValue>pSR+HvoetI1krVGImOpRhrBrPit/bNjGqLmkcTTSPj0=</DigestValue>
      </Reference>
      <Reference URI="/xl/worksheets/sheet4.xml?ContentType=application/vnd.openxmlformats-officedocument.spreadsheetml.worksheet+xml">
        <DigestMethod Algorithm="http://www.w3.org/2001/04/xmlenc#sha256"/>
        <DigestValue>10QfmcRVCa7enVoXzF3mlh5w4+X8MD7cMhIlrYBTzw8=</DigestValue>
      </Reference>
      <Reference URI="/xl/worksheets/sheet40.xml?ContentType=application/vnd.openxmlformats-officedocument.spreadsheetml.worksheet+xml">
        <DigestMethod Algorithm="http://www.w3.org/2001/04/xmlenc#sha256"/>
        <DigestValue>i11fiBBUbtxUl0YMCXIrpCzpsz64xbyv23djEXYLNFQ=</DigestValue>
      </Reference>
      <Reference URI="/xl/worksheets/sheet41.xml?ContentType=application/vnd.openxmlformats-officedocument.spreadsheetml.worksheet+xml">
        <DigestMethod Algorithm="http://www.w3.org/2001/04/xmlenc#sha256"/>
        <DigestValue>GVXdTe1+RzTJtEEJnd4k/BOxhOs1OKyofP5bxyqbL8s=</DigestValue>
      </Reference>
      <Reference URI="/xl/worksheets/sheet42.xml?ContentType=application/vnd.openxmlformats-officedocument.spreadsheetml.worksheet+xml">
        <DigestMethod Algorithm="http://www.w3.org/2001/04/xmlenc#sha256"/>
        <DigestValue>28O2bxI6iRWYo2yT2xXYuEZqBHlMulmx1p3vZp6Iaso=</DigestValue>
      </Reference>
      <Reference URI="/xl/worksheets/sheet43.xml?ContentType=application/vnd.openxmlformats-officedocument.spreadsheetml.worksheet+xml">
        <DigestMethod Algorithm="http://www.w3.org/2001/04/xmlenc#sha256"/>
        <DigestValue>SUeAfw9ZWAP0/4LG7SqThb9cydR+aGtUKQJHsyvt+4o=</DigestValue>
      </Reference>
      <Reference URI="/xl/worksheets/sheet44.xml?ContentType=application/vnd.openxmlformats-officedocument.spreadsheetml.worksheet+xml">
        <DigestMethod Algorithm="http://www.w3.org/2001/04/xmlenc#sha256"/>
        <DigestValue>Ls25i/vfGJ7zfoWK5qB25xgYGYmITTsIGI+wwljdYWo=</DigestValue>
      </Reference>
      <Reference URI="/xl/worksheets/sheet45.xml?ContentType=application/vnd.openxmlformats-officedocument.spreadsheetml.worksheet+xml">
        <DigestMethod Algorithm="http://www.w3.org/2001/04/xmlenc#sha256"/>
        <DigestValue>Yv6JRFRrE63bK+AY1ZOAVR2mACHl5P4bLA5aW2WwkSA=</DigestValue>
      </Reference>
      <Reference URI="/xl/worksheets/sheet46.xml?ContentType=application/vnd.openxmlformats-officedocument.spreadsheetml.worksheet+xml">
        <DigestMethod Algorithm="http://www.w3.org/2001/04/xmlenc#sha256"/>
        <DigestValue>2bseKnx2EWcIVLNyVJm7YqP95RDhQdJZqyFwM6N7xNE=</DigestValue>
      </Reference>
      <Reference URI="/xl/worksheets/sheet5.xml?ContentType=application/vnd.openxmlformats-officedocument.spreadsheetml.worksheet+xml">
        <DigestMethod Algorithm="http://www.w3.org/2001/04/xmlenc#sha256"/>
        <DigestValue>lxzQX+s7Hxaqq3w3c6oJgA1JJAqkYAJl2KJN/LhQbvk=</DigestValue>
      </Reference>
      <Reference URI="/xl/worksheets/sheet6.xml?ContentType=application/vnd.openxmlformats-officedocument.spreadsheetml.worksheet+xml">
        <DigestMethod Algorithm="http://www.w3.org/2001/04/xmlenc#sha256"/>
        <DigestValue>fCJ0zFiEHiOBxPSjwl5mMaDPUQtqC0nWCO+1NloWnRo=</DigestValue>
      </Reference>
      <Reference URI="/xl/worksheets/sheet7.xml?ContentType=application/vnd.openxmlformats-officedocument.spreadsheetml.worksheet+xml">
        <DigestMethod Algorithm="http://www.w3.org/2001/04/xmlenc#sha256"/>
        <DigestValue>snW1icKydvJ8H9ZQGvVYMM3Z3pexWFCaf4mCw+NhJk4=</DigestValue>
      </Reference>
      <Reference URI="/xl/worksheets/sheet8.xml?ContentType=application/vnd.openxmlformats-officedocument.spreadsheetml.worksheet+xml">
        <DigestMethod Algorithm="http://www.w3.org/2001/04/xmlenc#sha256"/>
        <DigestValue>9iBPpvYs4XqKQPfZxJPyPgaSPDk0L0LayREllbCwqFA=</DigestValue>
      </Reference>
      <Reference URI="/xl/worksheets/sheet9.xml?ContentType=application/vnd.openxmlformats-officedocument.spreadsheetml.worksheet+xml">
        <DigestMethod Algorithm="http://www.w3.org/2001/04/xmlenc#sha256"/>
        <DigestValue>o2si30x2X+LYLNamB6ljcFjKfnxKfoKrAGw++qdlzSA=</DigestValue>
      </Reference>
    </Manifest>
    <SignatureProperties>
      <SignatureProperty Id="idSignatureTime" Target="#idPackageSignature">
        <mdssi:SignatureTime xmlns:mdssi="http://schemas.openxmlformats.org/package/2006/digital-signature">
          <mdssi:Format>YYYY-MM-DDThh:mm:ssTZD</mdssi:Format>
          <mdssi:Value>2025-03-26T17:03:43Z</mdssi:Value>
        </mdssi:SignatureTime>
      </SignatureProperty>
    </SignatureProperties>
  </Object>
  <Object Id="idOfficeObject">
    <SignatureProperties>
      <SignatureProperty Id="idOfficeV1Details" Target="#idPackageSignature">
        <SignatureInfoV1 xmlns="http://schemas.microsoft.com/office/2006/digsig">
          <SetupID>{4493A43D-ED48-4482-B283-9167210073A5}</SetupID>
          <SignatureText>Octavio Sallustro Callizo</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2025-03-26T17:03:43Z</xd:SigningTime>
          <xd:SigningCertificate>
            <xd:Cert>
              <xd:CertDigest>
                <DigestMethod Algorithm="http://www.w3.org/2001/04/xmlenc#sha256"/>
                <DigestValue>8qKPrX19oRJ5UMyALx1g3Hv+B7kGmdpILIB17wm1VOU=</DigestValue>
              </xd:CertDigest>
              <xd:IssuerSerial>
                <X509IssuerName>C=PY, O=DOCUMENTA S.A., SERIALNUMBER=RUC80050172-1, CN=CA-DOCUMENTA S.A.</X509IssuerName>
                <X509SerialNumber>517109746999586455</X509SerialNumber>
              </xd:IssuerSerial>
            </xd:Cert>
          </xd:SigningCertificate>
          <xd:SignaturePolicyIdentifier>
            <xd:SignaturePolicyImplied/>
          </xd:SignaturePolicyIdentifier>
        </xd:SignedSignatureProperties>
      </xd:SignedProperties>
    </xd:QualifyingProperties>
  </Object>
  <Object Id="idValidSigLnImg">AQAAAGwAAAAAAAAAAAAAACQBAAB/AAAAAAAAAAAAAADTHAAAkQwAACBFTUYAAAEAYBwAAKoAAAAGAAAAAAAAAAAAAAAAAAAAVgUAAAADAABYAQAAwQAAAAAAAAAAAAAAAAAAAMA/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AAAAAAAAAAAAAAAl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AAAAAAAlAAAADAAAAAEAAABMAAAAZAAAAAAAAAAAAAAAJAEAAH8AAAAAAAAAAAAAACUBAACAAAAAIQDwAAAAAAAAAAAAAACAPwAAAAAAAAAAAACAPwAAAAAAAAAAAAAAAAAAAAAAAAAAAAAAAAAAAAAAAAAAJQAAAAwAAAAAAACAKAAAAAwAAAABAAAAJwAAABgAAAABAAAAAAAAAP///wAAAAAAJQAAAAwAAAABAAAATAAAAGQAAAAAAAAAAAAAACQBAAB/AAAAAAAAAAAAAAAl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gA2AC8AMwAvADIAMAAyADUAAAAGAAAABgAAAAQAAAAGAAAABAAAAAYAAAAGAAAABg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EVT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IAAABHAAAAKQAAADMAAACq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MAAABIAAAAJQAAAAwAAAAEAAAAVAAAAOQAAAAqAAAAMwAAANEAAABHAAAAAQAAANF2yUGrCslBKgAAADMAAAAZAAAATAAAAAAAAAAAAAAAAAAAAP//////////gAAAAE8AYwB0AGEAdgBpAG8AIABTAGEAbABsAHUAcwB0AHIAbwAgAEMAYQBsAGwAaQB6AG8AbWIMAAAABwAAAAUAAAAIAAAACAAAAAQAAAAJAAAABAAAAAkAAAAIAAAABAAAAAQAAAAJAAAABwAAAAUAAAAGAAAACQAAAAQAAAAKAAAACAAAAAQAAAAEAAAABAAAAAcAAAAJAAAASwAAAEAAAAAwAAAABQAAACAAAAABAAAAAQAAABAAAAAAAAAAAAAAACUBAACAAAAAAAAAAAAAAAAlAQAAgAAAACUAAAAMAAAAAgAAACcAAAAYAAAABQAAAAAAAAD///8AAAAAACUAAAAMAAAABQAAAEwAAABkAAAAAAAAAFAAAAAkAQAAfAAAAAAAAABQAAAAJ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OQAAAAKAAAAUAAAAIUAAABcAAAAAQAAANF2yUGrCslBCgAAAFAAAAAZAAAATAAAAAAAAAAAAAAAAAAAAP//////////gAAAAE8AYwB0AGEAdgBpAG8AIABTAGEAbABsAHUAcwB0AHIAbwAgAEMAYQBsAGwAaQB6AG8AMkQJAAAABQAAAAQAAAAGAAAABQAAAAMAAAAHAAAAAwAAAAYAAAAGAAAAAwAAAAMAAAAHAAAABQAAAAQAAAAEAAAABwAAAAMAAAAHAAAABgAAAAMAAAADAAAAAwAAAAUAAAAHAAAASwAAAEAAAAAwAAAABQAAACAAAAABAAAAAQAAABAAAAAAAAAAAAAAACUBAACAAAAAAAAAAAAAAAAl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qAAAAAoAAABgAAAAWAAAAGwAAAABAAAA0XbJQasKyUEKAAAAYAAAAA8AAABMAAAAAAAAAAAAAAAAAAAA//////////9sAAAAVgBpAGMAZQAtAFAAcgBlAHMAaQBkAGUAbgB0AGUAOyMHAAAAAwAAAAUAAAAGAAAABAAAAAYAAAAEAAAABgAAAAUAAAADAAAABwAAAAYAAAAHAAAABAAAAAYAAABLAAAAQAAAADAAAAAFAAAAIAAAAAEAAAABAAAAEAAAAAAAAAAAAAAAJQEAAIAAAAAAAAAAAAAAACUBAACAAAAAJQAAAAwAAAACAAAAJwAAABgAAAAFAAAAAAAAAP///wAAAAAAJQAAAAwAAAAFAAAATAAAAGQAAAAJAAAAcAAAABsBAAB8AAAACQAAAHAAAAATAQAADQAAACEA8AAAAAAAAAAAAAAAgD8AAAAAAAAAAAAAgD8AAAAAAAAAAAAAAAAAAAAAAAAAAAAAAAAAAAAAAAAAACUAAAAMAAAAAAAAgCgAAAAMAAAABQAAACUAAAAMAAAAAQAAABgAAAAMAAAAAAAAABIAAAAMAAAAAQAAABYAAAAMAAAAAAAAAFQAAABgAQAACgAAAHAAAAAaAQAAfAAAAAEAAADRdslBqwrJQQoAAABwAAAALgAAAEwAAAAEAAAACQAAAHAAAAAcAQAAfQAAAKgAAABGAGkAcgBtAGEAZABvACAAcABvAHIAOgAgAE8AQwBUAEEAVgBJAE8AIABBAEwAQgBFAFIAVABPACAAUwBBAEwATABVAFMAVABSAE8AIABDAEEATABMAEkAWgBPAAYAAAADAAAABAAAAAkAAAAGAAAABwAAAAcAAAADAAAABwAAAAcAAAAEAAAAAwAAAAMAAAAJAAAABwAAAAYAAAAHAAAABwAAAAMAAAAJAAAAAwAAAAcAAAAFAAAABgAAAAYAAAAHAAAABgAAAAkAAAADAAAABgAAAAcAAAAFAAAABQAAAAgAAAAGAAAABgAAAAcAAAAJAAAAAwAAAAcAAAAHAAAABQAAAAUAAAADAAAABgAAAAkAAAAWAAAADAAAAAAAAAAlAAAADAAAAAIAAAAOAAAAFAAAAAAAAAAQAAAAFAAAAA==</Object>
  <Object Id="idInvalidSigLnImg">AQAAAGwAAAAAAAAAAAAAACQBAAB/AAAAAAAAAAAAAADTHAAAkQwAACBFTUYAAAEA0CEAALEAAAAGAAAAAAAAAAAAAAAAAAAAVgUAAAADAABYAQAAwQAAAAAAAAAAAAAAAAAAAMA/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AAAAAAAAAAAAAAAl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AAAAAAAlAAAADAAAAAEAAABMAAAAZAAAAAAAAAAAAAAAJAEAAH8AAAAAAAAAAAAAACUBAACAAAAAIQDwAAAAAAAAAAAAAACAPwAAAAAAAAAAAACAPwAAAAAAAAAAAAAAAAAAAAAAAAAAAAAAAAAAAAAAAAAAJQAAAAwAAAAAAACAKAAAAAwAAAABAAAAJwAAABgAAAABAAAAAAAAAP///wAAAAAAJQAAAAwAAAABAAAATAAAAGQAAAAAAAAAAAAAACQBAAB/AAAAAAAAAAAAAAAl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0XbJQasKyUEjAAAABAAAAA8AAABMAAAAAAAAAAAAAAAAAAAA//////////9sAAAARgBpAHIAbQBhACAAbgBvACAAdgDhAGwAaQBkAGEAUNsGAAAAAwAAAAQAAAAJAAAABgAAAAMAAAAHAAAABwAAAAMAAAAFAAAABgAAAAMAAAADAAAABw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CmD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IAAABHAAAAKQAAADMAAACq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MAAABIAAAAJQAAAAwAAAAEAAAAVAAAAOQAAAAqAAAAMwAAANEAAABHAAAAAQAAANF2yUGrCslBKgAAADMAAAAZAAAATAAAAAAAAAAAAAAAAAAAAP//////////gAAAAE8AYwB0AGEAdgBpAG8AIABTAGEAbABsAHUAcwB0AHIAbwAgAEMAYQBsAGwAaQB6AG8AAAAMAAAABwAAAAUAAAAIAAAACAAAAAQAAAAJAAAABAAAAAkAAAAIAAAABAAAAAQAAAAJAAAABwAAAAUAAAAGAAAACQAAAAQAAAAKAAAACAAAAAQAAAAEAAAABAAAAAcAAAAJAAAASwAAAEAAAAAwAAAABQAAACAAAAABAAAAAQAAABAAAAAAAAAAAAAAACUBAACAAAAAAAAAAAAAAAAlAQAAgAAAACUAAAAMAAAAAgAAACcAAAAYAAAABQAAAAAAAAD///8AAAAAACUAAAAMAAAABQAAAEwAAABkAAAAAAAAAFAAAAAkAQAAfAAAAAAAAABQAAAAJ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OQAAAAKAAAAUAAAAIUAAABcAAAAAQAAANF2yUGrCslBCgAAAFAAAAAZAAAATAAAAAAAAAAAAAAAAAAAAP//////////gAAAAE8AYwB0AGEAdgBpAG8AIABTAGEAbABsAHUAcwB0AHIAbwAgAEMAYQBsAGwAaQB6AG8AAAAJAAAABQAAAAQAAAAGAAAABQAAAAMAAAAHAAAAAwAAAAYAAAAGAAAAAwAAAAMAAAAHAAAABQAAAAQAAAAEAAAABwAAAAMAAAAHAAAABgAAAAMAAAADAAAAAwAAAAUAAAAHAAAASwAAAEAAAAAwAAAABQAAACAAAAABAAAAAQAAABAAAAAAAAAAAAAAACUBAACAAAAAAAAAAAAAAAAl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qAAAAAoAAABgAAAAWAAAAGwAAAABAAAA0XbJQasKyUEKAAAAYAAAAA8AAABMAAAAAAAAAAAAAAAAAAAA//////////9sAAAAVgBpAGMAZQAtAFAAcgBlAHMAaQBkAGUAbgB0AGUATIMHAAAAAwAAAAUAAAAGAAAABAAAAAYAAAAEAAAABgAAAAUAAAADAAAABwAAAAYAAAAHAAAABAAAAAYAAABLAAAAQAAAADAAAAAFAAAAIAAAAAEAAAABAAAAEAAAAAAAAAAAAAAAJQEAAIAAAAAAAAAAAAAAACUBAACAAAAAJQAAAAwAAAACAAAAJwAAABgAAAAFAAAAAAAAAP///wAAAAAAJQAAAAwAAAAFAAAATAAAAGQAAAAJAAAAcAAAABsBAAB8AAAACQAAAHAAAAATAQAADQAAACEA8AAAAAAAAAAAAAAAgD8AAAAAAAAAAAAAgD8AAAAAAAAAAAAAAAAAAAAAAAAAAAAAAAAAAAAAAAAAACUAAAAMAAAAAAAAgCgAAAAMAAAABQAAACUAAAAMAAAAAQAAABgAAAAMAAAAAAAAABIAAAAMAAAAAQAAABYAAAAMAAAAAAAAAFQAAABgAQAACgAAAHAAAAAaAQAAfAAAAAEAAADRdslBqwrJQQoAAABwAAAALgAAAEwAAAAEAAAACQAAAHAAAAAcAQAAfQAAAKgAAABGAGkAcgBtAGEAZABvACAAcABvAHIAOgAgAE8AQwBUAEEAVgBJAE8AIABBAEwAQgBFAFIAVABPACAAUwBBAEwATABVAFMAVABSAE8AIABDAEEATABMAEkAWgBPAAYAAAADAAAABAAAAAkAAAAGAAAABwAAAAcAAAADAAAABwAAAAcAAAAEAAAAAwAAAAMAAAAJAAAABwAAAAYAAAAHAAAABwAAAAMAAAAJAAAAAwAAAAcAAAAFAAAABgAAAAYAAAAHAAAABgAAAAkAAAADAAAABgAAAAcAAAAFAAAABQAAAAgAAAAGAAAABgAAAAcAAAAJAAAAAwAAAAcAAAAHAAAABQAAAAUAAAADAAAABgAAAAkAAAAWAAAADAAAAAAAAAAlAAAADAAAAAIAAAAOAAAAFAAAAAAAAAAQAAAAFA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9SKuhihBN/Shj6k/rqiQHRS8/BgsHqbXn9yDrUWXr3Q=</DigestValue>
    </Reference>
    <Reference Type="http://www.w3.org/2000/09/xmldsig#Object" URI="#idOfficeObject">
      <DigestMethod Algorithm="http://www.w3.org/2001/04/xmlenc#sha256"/>
      <DigestValue>Z8f0lvCo7YejjfyWvzbUFfKnUfa6p8GLHz5C7Hjt3BM=</DigestValue>
    </Reference>
    <Reference Type="http://uri.etsi.org/01903#SignedProperties" URI="#idSignedProperties">
      <Transforms>
        <Transform Algorithm="http://www.w3.org/TR/2001/REC-xml-c14n-20010315"/>
      </Transforms>
      <DigestMethod Algorithm="http://www.w3.org/2001/04/xmlenc#sha256"/>
      <DigestValue>ytwMTSiYDEsUXF3iQZZ9zSqZ5If9VCEAoBbqlSBR+tI=</DigestValue>
    </Reference>
  </SignedInfo>
  <SignatureValue>gMs+lxDCktrrLfKXyuVgt1FSI1LJ+ZxOAKE0lMp2QbPQ0Pj8Azv4YAEaN9VIAHKBvtW8X/nXWMga
9hGydnABvhtKq9X/PubGkVHJs6jxNQsVl/Gy7wzaAh4SGFYPjXqxgWlf+WT+cP9mfYk5B6QkBb+x
rB8Z3Qojy7nK+akYMK4hU6VZKGrtJaPdYpD3RNY3+iR2k4yGT2ueg/QIbil3fcZ5rG+Lcb65OXkv
gYQ+nXZm8v6j1yYVaELzm1Tv4W7XbtOZVI+kEgQdn8k3ZeBM7+J7zJixS9Oy75fbbxaQjE8hokvr
qERfKMuLvzirngC2ZRCdy04BPC9UKiWKFT939g==</SignatureValue>
  <KeyInfo>
    <X509Data>
      <X509Certificate>MIIHmjCCBYKgAwIBAgIRAI2wm7j4rcCTR9eFlMXXf1YwDQYJKoZIhvcNAQELBQAwgYUxCzAJBgNVBAYTAlBZMQ0wCwYDVQQKEwRJQ1BQMTgwNgYDVQQLEy9QcmVzdGFkb3IgQ3VhbGlmaWNhZG8gZGUgU2VydmljaW9zIGRlIENvbmZpYW56YTEVMBMGA1UEAxMMQ09ERTEwMCBTLkEuMRYwFAYDVQQFEw1SVUM4MDA4MDYxMC03MB4XDTIzMDUwMjE3NDEyMFoXDTI1MDUwMjE3NDEyMFowgaoxCzAJBgNVBAYTAlBZMTYwNAYDVQQKDC1DRVJUSUZJQ0FETyBDVUFMSUZJQ0FETyBERSBGSVJNQSBFTEVDVFLDk05JQ0ExCzAJBgNVBAsTAkYyMRQwEgYDVQQEEwtMT1BFWiBHT01FWjEPMA0GA1UEKhMGWVNBSUFTMRswGQYDVQQDExJZU0FJQVMgTE9QRVogR09NRVoxEjAQBgNVBAUTCUNJMzg5ODU1NTCCASIwDQYJKoZIhvcNAQEBBQADggEPADCCAQoCggEBALa47dZsZwtmJ58Zr2SsyJBgHh4e/PlzdkXiAOwDg/4GRxB2sQjDiK7X253eR/ooJVVJPmABzJnRWCD5Hdzy3FHD0uuvGyJWZvwE4gj8kFB18SzgAcIEHT1KWfLKcZPIb4BxRAlCAdjkJQkR+faLRjOpol6vZwCcMm8fzqruxumRoks6EZHR1xawjqN7iD5fv6V02DZtYrUlfjhqAhyIJnfXHHweWV75p2Mfu2cVn04h4ncos2EL6Tg3cfLdKueDoqXrp66k1uZpk3gVtwkfYQhcq08uqJFRqS6/KmknlKJNb8qnxbu+Dj6/owOYfBrIT2wcAbCQAaIRMuhY+lDtnp8CAwEAAaOCAtwwggLYMAwGA1UdEwEB/wQCMAAwHQYDVR0OBBYEFCY7t4Yqao3RYA1Qvi8hdXvwnwFBMB8GA1UdIwQYMBaAFL41VGJoYOcm0zHBX5ex4vZkzgf1MA4GA1UdDwEB/wQEAwIF4DBTBgNVHREETDBKgRtZU0FJQVMuTE9QRVpAR0VTVElPTi5DT00uUFm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LBQADggIBAIRY7pILQ0NFxfoOqaO6+y6Mm2gFli5UI2fNn7JSwo1hwEJVrIi2kE/O6sg4/VKQt3aV9mCpVOVO7YwI0XsbpMfL3a/m4A36KL6HbbeSoX2DM5BObjC76JAW3AfR0INoR+B8IhshziO5usvs3OgAng+Ec8FeodVRd9tJ0Ku6UZGM0aGwavdFkTg/Ti0wYazouoGS2q6rjnaMYaRSzmM4lDBL96HsuvEaLbuI3i/qd4BFtMBCaN4ZM797nze0XJYi3vfZ5J51Akvee1rXoyfeohydA1xhUGhBtZQPUbGZDLIWBJ7c2JttAUDBgWTD9lmufKX/q1G6byUc3ZUkcicQEi3nJ0AjJGBH6g6QIV2GF7tlRzZarToTpgqfDSaenL7xkdgGh6EKVpYgPmIsqqfRn8ET+eLL0A3rrv4D7Th0zKj9g9oC9aqOB9PFzpnVjqM5L1WZTO+wSQynl/srFubpvj0c9RkSqWt+exURH072FApwDh+xRwOY93j211vG+dar9QWsHhQUxt/C4g5rA1K4XmbeHSE8j6f2oBvixbbDVq04JDhhNRXcdOv2TpImV3FPmdvPgWdzEaXm93pjTcS+UqBO4Q3jW1L1cxNXm10i15tkFY7R+wlqwakb8fij/ZYSPkz7yNsmyrMCWIjrDNQHF52RyipBGlupGBOh5lfDJBrX</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Transform>
          <Transform Algorithm="http://www.w3.org/TR/2001/REC-xml-c14n-20010315"/>
        </Transforms>
        <DigestMethod Algorithm="http://www.w3.org/2001/04/xmlenc#sha256"/>
        <DigestValue>X0zay39lAcy+joH66+NIv7xgenr+10RaM/eMl+BRvHQ=</DigestValue>
      </Reference>
      <Reference URI="/xl/calcChain.xml?ContentType=application/vnd.openxmlformats-officedocument.spreadsheetml.calcChain+xml">
        <DigestMethod Algorithm="http://www.w3.org/2001/04/xmlenc#sha256"/>
        <DigestValue>fbCCk27TLgesV8Jumswwms/ScvHFBkXBn/G77sxlFFA=</DigestValue>
      </Reference>
      <Reference URI="/xl/comments1.xml?ContentType=application/vnd.openxmlformats-officedocument.spreadsheetml.comments+xml">
        <DigestMethod Algorithm="http://www.w3.org/2001/04/xmlenc#sha256"/>
        <DigestValue>qnLCTzD69tBaj2Lsg6Jm3UbqVYuybhe9x6YPjSqAndM=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VB1yhbw7Gmyj1OTWV/qPomHE5sCDThzc5tVRBFnHCxE=</DigestValue>
      </Reference>
      <Reference URI="/xl/drawings/drawing10.xml?ContentType=application/vnd.openxmlformats-officedocument.drawing+xml">
        <DigestMethod Algorithm="http://www.w3.org/2001/04/xmlenc#sha256"/>
        <DigestValue>M4oiLfApTm1N39o9afLSU//tktDlGcZRNaMQ/vN4EGc=</DigestValue>
      </Reference>
      <Reference URI="/xl/drawings/drawing11.xml?ContentType=application/vnd.openxmlformats-officedocument.drawing+xml">
        <DigestMethod Algorithm="http://www.w3.org/2001/04/xmlenc#sha256"/>
        <DigestValue>prfPEyJG3DtmgObLtakRyZJuZNJJLeFlG/6ahj0ufPc=</DigestValue>
      </Reference>
      <Reference URI="/xl/drawings/drawing12.xml?ContentType=application/vnd.openxmlformats-officedocument.drawing+xml">
        <DigestMethod Algorithm="http://www.w3.org/2001/04/xmlenc#sha256"/>
        <DigestValue>ElgOjqForbR9Jj7Zt7qGVL3cWmvs3VwTTyNJTTulAS4=</DigestValue>
      </Reference>
      <Reference URI="/xl/drawings/drawing13.xml?ContentType=application/vnd.openxmlformats-officedocument.drawing+xml">
        <DigestMethod Algorithm="http://www.w3.org/2001/04/xmlenc#sha256"/>
        <DigestValue>VtWEA9TwWheIRgVchVvI6CM7SMKzhtSy2k7QgLYvoTk=</DigestValue>
      </Reference>
      <Reference URI="/xl/drawings/drawing14.xml?ContentType=application/vnd.openxmlformats-officedocument.drawing+xml">
        <DigestMethod Algorithm="http://www.w3.org/2001/04/xmlenc#sha256"/>
        <DigestValue>o4vWr+q2RW9iQTFwwUiTJ0ubucBXzo26t4yUVCKXwXM=</DigestValue>
      </Reference>
      <Reference URI="/xl/drawings/drawing15.xml?ContentType=application/vnd.openxmlformats-officedocument.drawing+xml">
        <DigestMethod Algorithm="http://www.w3.org/2001/04/xmlenc#sha256"/>
        <DigestValue>056Dhz2Aew7MpdfRQvHak4DXlXgi5aFByk7qUF4wJYA=</DigestValue>
      </Reference>
      <Reference URI="/xl/drawings/drawing16.xml?ContentType=application/vnd.openxmlformats-officedocument.drawing+xml">
        <DigestMethod Algorithm="http://www.w3.org/2001/04/xmlenc#sha256"/>
        <DigestValue>zMHuH22+oCni68SSFUYxYmhKueZXWEMG9do+MC0Eo1g=</DigestValue>
      </Reference>
      <Reference URI="/xl/drawings/drawing17.xml?ContentType=application/vnd.openxmlformats-officedocument.drawing+xml">
        <DigestMethod Algorithm="http://www.w3.org/2001/04/xmlenc#sha256"/>
        <DigestValue>9nqJZgfEyar5HjT2Y7nLsiKYudRvQuq6MgfR24amcuk=</DigestValue>
      </Reference>
      <Reference URI="/xl/drawings/drawing18.xml?ContentType=application/vnd.openxmlformats-officedocument.drawing+xml">
        <DigestMethod Algorithm="http://www.w3.org/2001/04/xmlenc#sha256"/>
        <DigestValue>Q2D78Vy8lMSm22nVXp0zSxhBv0lKK2CUlReZQWhzTqM=</DigestValue>
      </Reference>
      <Reference URI="/xl/drawings/drawing2.xml?ContentType=application/vnd.openxmlformats-officedocument.drawing+xml">
        <DigestMethod Algorithm="http://www.w3.org/2001/04/xmlenc#sha256"/>
        <DigestValue>ZkWAY+GEMZkQJlkThNu9CweLsQpYXIdo6nKP0k+dgfw=</DigestValue>
      </Reference>
      <Reference URI="/xl/drawings/drawing3.xml?ContentType=application/vnd.openxmlformats-officedocument.drawing+xml">
        <DigestMethod Algorithm="http://www.w3.org/2001/04/xmlenc#sha256"/>
        <DigestValue>lo5MvWBofZh/a6jv4sAOMgYTu0NdSALZKz25w3P2fkA=</DigestValue>
      </Reference>
      <Reference URI="/xl/drawings/drawing4.xml?ContentType=application/vnd.openxmlformats-officedocument.drawing+xml">
        <DigestMethod Algorithm="http://www.w3.org/2001/04/xmlenc#sha256"/>
        <DigestValue>U8IihizxGs5Wi6xVpShZRXzN2wQW5UlvtawGGRJr2Mw=</DigestValue>
      </Reference>
      <Reference URI="/xl/drawings/drawing5.xml?ContentType=application/vnd.openxmlformats-officedocument.drawing+xml">
        <DigestMethod Algorithm="http://www.w3.org/2001/04/xmlenc#sha256"/>
        <DigestValue>b3O2jx+fjvCMHMwUtwzFIT18QT5gCrFER0iF62SEaRM=</DigestValue>
      </Reference>
      <Reference URI="/xl/drawings/drawing6.xml?ContentType=application/vnd.openxmlformats-officedocument.drawing+xml">
        <DigestMethod Algorithm="http://www.w3.org/2001/04/xmlenc#sha256"/>
        <DigestValue>kBHwS31qQkQKv4z/0liQa0YoIfr1OJbuoxnr4u+SQDc=</DigestValue>
      </Reference>
      <Reference URI="/xl/drawings/drawing7.xml?ContentType=application/vnd.openxmlformats-officedocument.drawing+xml">
        <DigestMethod Algorithm="http://www.w3.org/2001/04/xmlenc#sha256"/>
        <DigestValue>NRydziRWBJXYM+eP3/wYTG0RDyHW1uHj5g1aNMFMP/4=</DigestValue>
      </Reference>
      <Reference URI="/xl/drawings/drawing8.xml?ContentType=application/vnd.openxmlformats-officedocument.drawing+xml">
        <DigestMethod Algorithm="http://www.w3.org/2001/04/xmlenc#sha256"/>
        <DigestValue>rmt1Fqnn7+mfWClI9pVSbi7fyb1z6bNHWQ6w4hUSaRI=</DigestValue>
      </Reference>
      <Reference URI="/xl/drawings/drawing9.xml?ContentType=application/vnd.openxmlformats-officedocument.drawing+xml">
        <DigestMethod Algorithm="http://www.w3.org/2001/04/xmlenc#sha256"/>
        <DigestValue>5zIsuhnzxAAQTb3ay+MBMmh3WQ6SRjJpYK0mvA3naBo=</DigestValue>
      </Reference>
      <Reference URI="/xl/drawings/vmlDrawing1.vml?ContentType=application/vnd.openxmlformats-officedocument.vmlDrawing">
        <DigestMethod Algorithm="http://www.w3.org/2001/04/xmlenc#sha256"/>
        <DigestValue>1Cv4jLy4lSkORB0ljCO0LlC2jTyEYkjoHJbzNB7k2FU=</DigestValue>
      </Reference>
      <Reference URI="/xl/drawings/vmlDrawing2.vml?ContentType=application/vnd.openxmlformats-officedocument.vmlDrawing">
        <DigestMethod Algorithm="http://www.w3.org/2001/04/xmlenc#sha256"/>
        <DigestValue>kZ2At4ohWjbRf1rwdOAhOXoDLmn46JzALr7IZgjWgtQ=</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h9fJY+lBcUFThe4N+TRU6csYQxyixPEAdH89DalYVpk=</DigestValue>
      </Reference>
      <Reference URI="/xl/externalLinks/externalLink1.xml?ContentType=application/vnd.openxmlformats-officedocument.spreadsheetml.externalLink+xml">
        <DigestMethod Algorithm="http://www.w3.org/2001/04/xmlenc#sha256"/>
        <DigestValue>XNhm+qnDqnrk+TkzUVbZvcgQZgfRgS3WiG1HUvsIoYw=</DigestValue>
      </Reference>
      <Reference URI="/xl/media/image1.png?ContentType=image/png">
        <DigestMethod Algorithm="http://www.w3.org/2001/04/xmlenc#sha256"/>
        <DigestValue>K2NW93tqc6EY2IgJTscfZeNC2EdRt9B2kLaU83bJs38=</DigestValue>
      </Reference>
      <Reference URI="/xl/media/image2.emf?ContentType=image/x-emf">
        <DigestMethod Algorithm="http://www.w3.org/2001/04/xmlenc#sha256"/>
        <DigestValue>/v+grmhFBfBgTfoIMzcBl8wLcdRqv+hiYpfqxSdilfU=</DigestValue>
      </Reference>
      <Reference URI="/xl/media/image3.emf?ContentType=image/x-emf">
        <DigestMethod Algorithm="http://www.w3.org/2001/04/xmlenc#sha256"/>
        <DigestValue>yOWUxYJKNMcN7T+amw2f7y9Spnf600L9CCUGUvP+L64=</DigestValue>
      </Reference>
      <Reference URI="/xl/media/image4.emf?ContentType=image/x-emf">
        <DigestMethod Algorithm="http://www.w3.org/2001/04/xmlenc#sha256"/>
        <DigestValue>PmawVfOdCR9JMs4vXg4Qh204dXSfD6x7RaDJaBef41M=</DigestValue>
      </Reference>
      <Reference URI="/xl/media/image5.emf?ContentType=image/x-emf">
        <DigestMethod Algorithm="http://www.w3.org/2001/04/xmlenc#sha256"/>
        <DigestValue>VYTNltr8I9MMEGNv/BDlf4Kk7yMiUNtVWiU8HKGHXWY=</DigestValue>
      </Reference>
      <Reference URI="/xl/media/image6.emf?ContentType=image/x-emf">
        <DigestMethod Algorithm="http://www.w3.org/2001/04/xmlenc#sha256"/>
        <DigestValue>5xjYICeEbpj4VPj/MJE2dSURUuioSFM7/uxzYiBM5Cw=</DigestValue>
      </Reference>
      <Reference URI="/xl/media/image7.png?ContentType=image/png">
        <DigestMethod Algorithm="http://www.w3.org/2001/04/xmlenc#sha256"/>
        <DigestValue>nnykxL6sHYwxaEYN4bNnKlAbSJy2p6Du/3yKaO3Lq0U=</DigestValue>
      </Reference>
      <Reference URI="/xl/printerSettings/printerSettings1.bin?ContentType=application/vnd.openxmlformats-officedocument.spreadsheetml.printerSettings">
        <DigestMethod Algorithm="http://www.w3.org/2001/04/xmlenc#sha256"/>
        <DigestValue>nJAHBoN2Wdd9B+xnkmN0ykoUgt2u5nrsxBIkEuDEWMI=</DigestValue>
      </Reference>
      <Reference URI="/xl/printerSettings/printerSettings10.bin?ContentType=application/vnd.openxmlformats-officedocument.spreadsheetml.printerSettings">
        <DigestMethod Algorithm="http://www.w3.org/2001/04/xmlenc#sha256"/>
        <DigestValue>ye0ygCp8mAHhrxXVqmrSxJPdXaRWG+7cYDv9YXcB6gc=</DigestValue>
      </Reference>
      <Reference URI="/xl/printerSettings/printerSettings11.bin?ContentType=application/vnd.openxmlformats-officedocument.spreadsheetml.printerSettings">
        <DigestMethod Algorithm="http://www.w3.org/2001/04/xmlenc#sha256"/>
        <DigestValue>ye0ygCp8mAHhrxXVqmrSxJPdXaRWG+7cYDv9YXcB6gc=</DigestValue>
      </Reference>
      <Reference URI="/xl/printerSettings/printerSettings12.bin?ContentType=application/vnd.openxmlformats-officedocument.spreadsheetml.printerSettings">
        <DigestMethod Algorithm="http://www.w3.org/2001/04/xmlenc#sha256"/>
        <DigestValue>1/ZWSL2z/rx8MILo7VSKeZ2fxt90tdO1+d177mn/62I=</DigestValue>
      </Reference>
      <Reference URI="/xl/printerSettings/printerSettings13.bin?ContentType=application/vnd.openxmlformats-officedocument.spreadsheetml.printerSettings">
        <DigestMethod Algorithm="http://www.w3.org/2001/04/xmlenc#sha256"/>
        <DigestValue>89nBNtWGa+e+nMBZt/vG241JYMcErfk0lLyizJbX5DQ=</DigestValue>
      </Reference>
      <Reference URI="/xl/printerSettings/printerSettings14.bin?ContentType=application/vnd.openxmlformats-officedocument.spreadsheetml.printerSettings">
        <DigestMethod Algorithm="http://www.w3.org/2001/04/xmlenc#sha256"/>
        <DigestValue>89nBNtWGa+e+nMBZt/vG241JYMcErfk0lLyizJbX5DQ=</DigestValue>
      </Reference>
      <Reference URI="/xl/printerSettings/printerSettings15.bin?ContentType=application/vnd.openxmlformats-officedocument.spreadsheetml.printerSettings">
        <DigestMethod Algorithm="http://www.w3.org/2001/04/xmlenc#sha256"/>
        <DigestValue>ye0ygCp8mAHhrxXVqmrSxJPdXaRWG+7cYDv9YXcB6gc=</DigestValue>
      </Reference>
      <Reference URI="/xl/printerSettings/printerSettings16.bin?ContentType=application/vnd.openxmlformats-officedocument.spreadsheetml.printerSettings">
        <DigestMethod Algorithm="http://www.w3.org/2001/04/xmlenc#sha256"/>
        <DigestValue>zHpi8B/AzGRLezKgmRPAVYXkZ0umem7y+NaskYMBbNo=</DigestValue>
      </Reference>
      <Reference URI="/xl/printerSettings/printerSettings17.bin?ContentType=application/vnd.openxmlformats-officedocument.spreadsheetml.printerSettings">
        <DigestMethod Algorithm="http://www.w3.org/2001/04/xmlenc#sha256"/>
        <DigestValue>ye0ygCp8mAHhrxXVqmrSxJPdXaRWG+7cYDv9YXcB6gc=</DigestValue>
      </Reference>
      <Reference URI="/xl/printerSettings/printerSettings18.bin?ContentType=application/vnd.openxmlformats-officedocument.spreadsheetml.printerSettings">
        <DigestMethod Algorithm="http://www.w3.org/2001/04/xmlenc#sha256"/>
        <DigestValue>zHpi8B/AzGRLezKgmRPAVYXkZ0umem7y+NaskYMBbNo=</DigestValue>
      </Reference>
      <Reference URI="/xl/printerSettings/printerSettings19.bin?ContentType=application/vnd.openxmlformats-officedocument.spreadsheetml.printerSettings">
        <DigestMethod Algorithm="http://www.w3.org/2001/04/xmlenc#sha256"/>
        <DigestValue>j2fyYiYEDbsNOQmjBcY1ZN1XHPKd9g1sTClCpHYJTxw=</DigestValue>
      </Reference>
      <Reference URI="/xl/printerSettings/printerSettings2.bin?ContentType=application/vnd.openxmlformats-officedocument.spreadsheetml.printerSettings">
        <DigestMethod Algorithm="http://www.w3.org/2001/04/xmlenc#sha256"/>
        <DigestValue>1/ZWSL2z/rx8MILo7VSKeZ2fxt90tdO1+d177mn/62I=</DigestValue>
      </Reference>
      <Reference URI="/xl/printerSettings/printerSettings20.bin?ContentType=application/vnd.openxmlformats-officedocument.spreadsheetml.printerSettings">
        <DigestMethod Algorithm="http://www.w3.org/2001/04/xmlenc#sha256"/>
        <DigestValue>ye0ygCp8mAHhrxXVqmrSxJPdXaRWG+7cYDv9YXcB6gc=</DigestValue>
      </Reference>
      <Reference URI="/xl/printerSettings/printerSettings21.bin?ContentType=application/vnd.openxmlformats-officedocument.spreadsheetml.printerSettings">
        <DigestMethod Algorithm="http://www.w3.org/2001/04/xmlenc#sha256"/>
        <DigestValue>1/ZWSL2z/rx8MILo7VSKeZ2fxt90tdO1+d177mn/62I=</DigestValue>
      </Reference>
      <Reference URI="/xl/printerSettings/printerSettings22.bin?ContentType=application/vnd.openxmlformats-officedocument.spreadsheetml.printerSettings">
        <DigestMethod Algorithm="http://www.w3.org/2001/04/xmlenc#sha256"/>
        <DigestValue>1/ZWSL2z/rx8MILo7VSKeZ2fxt90tdO1+d177mn/62I=</DigestValue>
      </Reference>
      <Reference URI="/xl/printerSettings/printerSettings23.bin?ContentType=application/vnd.openxmlformats-officedocument.spreadsheetml.printerSettings">
        <DigestMethod Algorithm="http://www.w3.org/2001/04/xmlenc#sha256"/>
        <DigestValue>1/ZWSL2z/rx8MILo7VSKeZ2fxt90tdO1+d177mn/62I=</DigestValue>
      </Reference>
      <Reference URI="/xl/printerSettings/printerSettings24.bin?ContentType=application/vnd.openxmlformats-officedocument.spreadsheetml.printerSettings">
        <DigestMethod Algorithm="http://www.w3.org/2001/04/xmlenc#sha256"/>
        <DigestValue>89nBNtWGa+e+nMBZt/vG241JYMcErfk0lLyizJbX5DQ=</DigestValue>
      </Reference>
      <Reference URI="/xl/printerSettings/printerSettings25.bin?ContentType=application/vnd.openxmlformats-officedocument.spreadsheetml.printerSettings">
        <DigestMethod Algorithm="http://www.w3.org/2001/04/xmlenc#sha256"/>
        <DigestValue>1/ZWSL2z/rx8MILo7VSKeZ2fxt90tdO1+d177mn/62I=</DigestValue>
      </Reference>
      <Reference URI="/xl/printerSettings/printerSettings26.bin?ContentType=application/vnd.openxmlformats-officedocument.spreadsheetml.printerSettings">
        <DigestMethod Algorithm="http://www.w3.org/2001/04/xmlenc#sha256"/>
        <DigestValue>ye0ygCp8mAHhrxXVqmrSxJPdXaRWG+7cYDv9YXcB6gc=</DigestValue>
      </Reference>
      <Reference URI="/xl/printerSettings/printerSettings27.bin?ContentType=application/vnd.openxmlformats-officedocument.spreadsheetml.printerSettings">
        <DigestMethod Algorithm="http://www.w3.org/2001/04/xmlenc#sha256"/>
        <DigestValue>ye0ygCp8mAHhrxXVqmrSxJPdXaRWG+7cYDv9YXcB6gc=</DigestValue>
      </Reference>
      <Reference URI="/xl/printerSettings/printerSettings28.bin?ContentType=application/vnd.openxmlformats-officedocument.spreadsheetml.printerSettings">
        <DigestMethod Algorithm="http://www.w3.org/2001/04/xmlenc#sha256"/>
        <DigestValue>uaG0dKgP9fdq5dc9SKOxsjO6aFrN5Az1VSB0/pJmHOY=</DigestValue>
      </Reference>
      <Reference URI="/xl/printerSettings/printerSettings29.bin?ContentType=application/vnd.openxmlformats-officedocument.spreadsheetml.printerSettings">
        <DigestMethod Algorithm="http://www.w3.org/2001/04/xmlenc#sha256"/>
        <DigestValue>1/ZWSL2z/rx8MILo7VSKeZ2fxt90tdO1+d177mn/62I=</DigestValue>
      </Reference>
      <Reference URI="/xl/printerSettings/printerSettings3.bin?ContentType=application/vnd.openxmlformats-officedocument.spreadsheetml.printerSettings">
        <DigestMethod Algorithm="http://www.w3.org/2001/04/xmlenc#sha256"/>
        <DigestValue>1/ZWSL2z/rx8MILo7VSKeZ2fxt90tdO1+d177mn/62I=</DigestValue>
      </Reference>
      <Reference URI="/xl/printerSettings/printerSettings30.bin?ContentType=application/vnd.openxmlformats-officedocument.spreadsheetml.printerSettings">
        <DigestMethod Algorithm="http://www.w3.org/2001/04/xmlenc#sha256"/>
        <DigestValue>nJAHBoN2Wdd9B+xnkmN0ykoUgt2u5nrsxBIkEuDEWMI=</DigestValue>
      </Reference>
      <Reference URI="/xl/printerSettings/printerSettings31.bin?ContentType=application/vnd.openxmlformats-officedocument.spreadsheetml.printerSettings">
        <DigestMethod Algorithm="http://www.w3.org/2001/04/xmlenc#sha256"/>
        <DigestValue>PKvbYuXDtz2QckuDs7cNpUQNkkCqcuMyB+0oxE8UEtI=</DigestValue>
      </Reference>
      <Reference URI="/xl/printerSettings/printerSettings32.bin?ContentType=application/vnd.openxmlformats-officedocument.spreadsheetml.printerSettings">
        <DigestMethod Algorithm="http://www.w3.org/2001/04/xmlenc#sha256"/>
        <DigestValue>ye0ygCp8mAHhrxXVqmrSxJPdXaRWG+7cYDv9YXcB6gc=</DigestValue>
      </Reference>
      <Reference URI="/xl/printerSettings/printerSettings33.bin?ContentType=application/vnd.openxmlformats-officedocument.spreadsheetml.printerSettings">
        <DigestMethod Algorithm="http://www.w3.org/2001/04/xmlenc#sha256"/>
        <DigestValue>89nBNtWGa+e+nMBZt/vG241JYMcErfk0lLyizJbX5DQ=</DigestValue>
      </Reference>
      <Reference URI="/xl/printerSettings/printerSettings34.bin?ContentType=application/vnd.openxmlformats-officedocument.spreadsheetml.printerSettings">
        <DigestMethod Algorithm="http://www.w3.org/2001/04/xmlenc#sha256"/>
        <DigestValue>1/ZWSL2z/rx8MILo7VSKeZ2fxt90tdO1+d177mn/62I=</DigestValue>
      </Reference>
      <Reference URI="/xl/printerSettings/printerSettings35.bin?ContentType=application/vnd.openxmlformats-officedocument.spreadsheetml.printerSettings">
        <DigestMethod Algorithm="http://www.w3.org/2001/04/xmlenc#sha256"/>
        <DigestValue>1/ZWSL2z/rx8MILo7VSKeZ2fxt90tdO1+d177mn/62I=</DigestValue>
      </Reference>
      <Reference URI="/xl/printerSettings/printerSettings36.bin?ContentType=application/vnd.openxmlformats-officedocument.spreadsheetml.printerSettings">
        <DigestMethod Algorithm="http://www.w3.org/2001/04/xmlenc#sha256"/>
        <DigestValue>PKvbYuXDtz2QckuDs7cNpUQNkkCqcuMyB+0oxE8UEtI=</DigestValue>
      </Reference>
      <Reference URI="/xl/printerSettings/printerSettings37.bin?ContentType=application/vnd.openxmlformats-officedocument.spreadsheetml.printerSettings">
        <DigestMethod Algorithm="http://www.w3.org/2001/04/xmlenc#sha256"/>
        <DigestValue>1/ZWSL2z/rx8MILo7VSKeZ2fxt90tdO1+d177mn/62I=</DigestValue>
      </Reference>
      <Reference URI="/xl/printerSettings/printerSettings38.bin?ContentType=application/vnd.openxmlformats-officedocument.spreadsheetml.printerSettings">
        <DigestMethod Algorithm="http://www.w3.org/2001/04/xmlenc#sha256"/>
        <DigestValue>uaG0dKgP9fdq5dc9SKOxsjO6aFrN5Az1VSB0/pJmHOY=</DigestValue>
      </Reference>
      <Reference URI="/xl/printerSettings/printerSettings39.bin?ContentType=application/vnd.openxmlformats-officedocument.spreadsheetml.printerSettings">
        <DigestMethod Algorithm="http://www.w3.org/2001/04/xmlenc#sha256"/>
        <DigestValue>1/ZWSL2z/rx8MILo7VSKeZ2fxt90tdO1+d177mn/62I=</DigestValue>
      </Reference>
      <Reference URI="/xl/printerSettings/printerSettings4.bin?ContentType=application/vnd.openxmlformats-officedocument.spreadsheetml.printerSettings">
        <DigestMethod Algorithm="http://www.w3.org/2001/04/xmlenc#sha256"/>
        <DigestValue>89nBNtWGa+e+nMBZt/vG241JYMcErfk0lLyizJbX5DQ=</DigestValue>
      </Reference>
      <Reference URI="/xl/printerSettings/printerSettings40.bin?ContentType=application/vnd.openxmlformats-officedocument.spreadsheetml.printerSettings">
        <DigestMethod Algorithm="http://www.w3.org/2001/04/xmlenc#sha256"/>
        <DigestValue>nJAHBoN2Wdd9B+xnkmN0ykoUgt2u5nrsxBIkEuDEWMI=</DigestValue>
      </Reference>
      <Reference URI="/xl/printerSettings/printerSettings41.bin?ContentType=application/vnd.openxmlformats-officedocument.spreadsheetml.printerSettings">
        <DigestMethod Algorithm="http://www.w3.org/2001/04/xmlenc#sha256"/>
        <DigestValue>zHpi8B/AzGRLezKgmRPAVYXkZ0umem7y+NaskYMBbNo=</DigestValue>
      </Reference>
      <Reference URI="/xl/printerSettings/printerSettings42.bin?ContentType=application/vnd.openxmlformats-officedocument.spreadsheetml.printerSettings">
        <DigestMethod Algorithm="http://www.w3.org/2001/04/xmlenc#sha256"/>
        <DigestValue>1/ZWSL2z/rx8MILo7VSKeZ2fxt90tdO1+d177mn/62I=</DigestValue>
      </Reference>
      <Reference URI="/xl/printerSettings/printerSettings43.bin?ContentType=application/vnd.openxmlformats-officedocument.spreadsheetml.printerSettings">
        <DigestMethod Algorithm="http://www.w3.org/2001/04/xmlenc#sha256"/>
        <DigestValue>zHpi8B/AzGRLezKgmRPAVYXkZ0umem7y+NaskYMBbNo=</DigestValue>
      </Reference>
      <Reference URI="/xl/printerSettings/printerSettings44.bin?ContentType=application/vnd.openxmlformats-officedocument.spreadsheetml.printerSettings">
        <DigestMethod Algorithm="http://www.w3.org/2001/04/xmlenc#sha256"/>
        <DigestValue>zHpi8B/AzGRLezKgmRPAVYXkZ0umem7y+NaskYMBbNo=</DigestValue>
      </Reference>
      <Reference URI="/xl/printerSettings/printerSettings45.bin?ContentType=application/vnd.openxmlformats-officedocument.spreadsheetml.printerSettings">
        <DigestMethod Algorithm="http://www.w3.org/2001/04/xmlenc#sha256"/>
        <DigestValue>PKvbYuXDtz2QckuDs7cNpUQNkkCqcuMyB+0oxE8UEtI=</DigestValue>
      </Reference>
      <Reference URI="/xl/printerSettings/printerSettings46.bin?ContentType=application/vnd.openxmlformats-officedocument.spreadsheetml.printerSettings">
        <DigestMethod Algorithm="http://www.w3.org/2001/04/xmlenc#sha256"/>
        <DigestValue>PKvbYuXDtz2QckuDs7cNpUQNkkCqcuMyB+0oxE8UEtI=</DigestValue>
      </Reference>
      <Reference URI="/xl/printerSettings/printerSettings5.bin?ContentType=application/vnd.openxmlformats-officedocument.spreadsheetml.printerSettings">
        <DigestMethod Algorithm="http://www.w3.org/2001/04/xmlenc#sha256"/>
        <DigestValue>SK3ve5YjWvCu/bPgXnCB+vXPOFLwdezqOIyUlNYX1Rs=</DigestValue>
      </Reference>
      <Reference URI="/xl/printerSettings/printerSettings6.bin?ContentType=application/vnd.openxmlformats-officedocument.spreadsheetml.printerSettings">
        <DigestMethod Algorithm="http://www.w3.org/2001/04/xmlenc#sha256"/>
        <DigestValue>ye0ygCp8mAHhrxXVqmrSxJPdXaRWG+7cYDv9YXcB6gc=</DigestValue>
      </Reference>
      <Reference URI="/xl/printerSettings/printerSettings7.bin?ContentType=application/vnd.openxmlformats-officedocument.spreadsheetml.printerSettings">
        <DigestMethod Algorithm="http://www.w3.org/2001/04/xmlenc#sha256"/>
        <DigestValue>eREZYrwMnkZvA29/8E4+7aeM8YqNhZtvIilWyIDfBbU=</DigestValue>
      </Reference>
      <Reference URI="/xl/printerSettings/printerSettings8.bin?ContentType=application/vnd.openxmlformats-officedocument.spreadsheetml.printerSettings">
        <DigestMethod Algorithm="http://www.w3.org/2001/04/xmlenc#sha256"/>
        <DigestValue>ye0ygCp8mAHhrxXVqmrSxJPdXaRWG+7cYDv9YXcB6gc=</DigestValue>
      </Reference>
      <Reference URI="/xl/printerSettings/printerSettings9.bin?ContentType=application/vnd.openxmlformats-officedocument.spreadsheetml.printerSettings">
        <DigestMethod Algorithm="http://www.w3.org/2001/04/xmlenc#sha256"/>
        <DigestValue>ye0ygCp8mAHhrxXVqmrSxJPdXaRWG+7cYDv9YXcB6gc=</DigestValue>
      </Reference>
      <Reference URI="/xl/sharedStrings.xml?ContentType=application/vnd.openxmlformats-officedocument.spreadsheetml.sharedStrings+xml">
        <DigestMethod Algorithm="http://www.w3.org/2001/04/xmlenc#sha256"/>
        <DigestValue>B1bZpjOBGENlWdWX2UMbYB2PpQYK2vFXnWQRur+zoPU=</DigestValue>
      </Reference>
      <Reference URI="/xl/styles.xml?ContentType=application/vnd.openxmlformats-officedocument.spreadsheetml.styles+xml">
        <DigestMethod Algorithm="http://www.w3.org/2001/04/xmlenc#sha256"/>
        <DigestValue>UR5/yYnoSV3ME6e901pEWZ8xoyW5mT2e2Jz6epQkBJo=</DigestValue>
      </Reference>
      <Reference URI="/xl/theme/theme1.xml?ContentType=application/vnd.openxmlformats-officedocument.theme+xml">
        <DigestMethod Algorithm="http://www.w3.org/2001/04/xmlenc#sha256"/>
        <DigestValue>9ZDC2JufYryaQksRfNXU723Z+OanJ/58pfsnHEq2DUE=</DigestValue>
      </Reference>
      <Reference URI="/xl/workbook.xml?ContentType=application/vnd.openxmlformats-officedocument.spreadsheetml.sheet.main+xml">
        <DigestMethod Algorithm="http://www.w3.org/2001/04/xmlenc#sha256"/>
        <DigestValue>rN6Ms0R2JZh/5uGW3D/Le9/dFVDmZUXSjGlF8lqzEms=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OG64TWTD7j+T6XEgwX6U1t2JQ9uBwF5JfRZ27xxpJ+w=</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aYXRgcDQ1Zc3QOfgyhqLIFev18/0l/S8gnTb1puzGIU=</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a44YNjtiym0S9exNLLrYg/u0IjW9EHsUCQlLPMlbO/o=</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HdiCc2p1UdKZddbHWP2HyFRaoEzeashVOh5eS2LOudg=</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7KnOMn7UlXli3Jy1eYmN5veK0HI9TOlohTDdyttJaLI=</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oCA/gRRRvc+jJc1iCaZLWrOziIRnDRXjxvYvv33q2GU=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w9kJgC3POm8IXkF8apaHYpiB7UgESnMvh8+REVGXmoc=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M1DPmTSPxL6pjK6Hlh39zRu5bD4dygfn4SBqudnogyE=</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aUH3EIC3LJ1WlPFqNXrO/jOyW/nktb+VO6C48U39/oI=</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k432tqojAmZglSJMpQHY06sOwkUHw93eXxXEqXwyorw=</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xwsv2H/gebHOpn0u17DPxoNhPhoF79jqTl8wgDpXcoc=</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tDoQKO/BkLp4kR3UztCc7PA22VmRNizbvJ+5Z2HWEFU=</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rLdvf3yY2ekrKu60idP2MsLKORy6SOjqi0FnsyMynGM=</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0k9F14bi/16tdQhj4IyNfKjYKY/Wxdjc6uOJZt2NSFQ=</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IgAbisjOm+Z/o4medQzuRzY+pxXjrkDU9o+AIfBQFik=</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k1lyfwqmmD/+IoVTg0kz9LzXUr1Uk3Si/nXVc+rnGMI=</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in1AbNBHz/S0qRwmZrYRmD6KDCBFiMU7ahORI/fscjY=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Cp9PA/EMUCmFN0rjs+ZKFhODDEGzJl8Ch1IdmuYTIUc=</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3iS29RgGizUTgmtBni8degzLfqWHy2uN4AVjRehr32M=</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nE0f+bF4IP96+tRIO9//VfSQTMl2/L1srvLlnHh7IeU=</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yLbFZOaatprfLLCZ68UZZxklXbzIrPkQXwNXZh1aUe4=</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I/R5yBYm6QMCUJuO8adD1NqOmD8fFhRangLh6nczLNQ=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2ftlSe7ENmwNdQ2MT4KexOA7ta+EHJXAokRQ/Sbe+To=</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0Bnugy7bzitJja739ggKaHQvkr3zKO9A9jpqBY3DiaI=</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82V9aXy3uiUF6h1goyLp993S42PSVT9uLFPxLc8qapo=</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1s/0Bn5zbBkiPy5hlL8rDE6/bmHjfNkm2MgsRuE+aR4=</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7/nemkTZSr1q715vAnYThMf5LzqTkmT+F+jq4QRqzpc=</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OwLohzYa4yen+N/yh2Zb+LLn80QJzm2nQIKSJKSFB/8=</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Y09xDoIGSmpx0MjWTeeEB8jIZEw0AQth19CsyTGwE8w=</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RofjFfDGEQEcA4cUnvodX7beZGieR+bW06/zJsc/T9U=</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1HjkxtgHDD2Y4CVW+ZVs76QTr049Upzf5O5AkLJUa4c=</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6Bbz0o48hzTUTtF6fo4ewGqu0GdHL0idXEEWlAzVmQ4=</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OsJnUIw8ZJm/JrtcL/mX12XnIt31BUOzLCNpse9AlCc=</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Jqu8TGjuincglhnXIRPw5rTdx9ds1e5FUfNPGK7lUxY=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FTLUZSzyPImP/h/5pTtmsiVav3XAxsSoaQXEM6xZNng=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eulYRWlfdY6JQDzO5q0VKDizVJzlUVk+OB91z40Pthc=</DigestValue>
      </Reference>
      <Reference URI="/xl/worksheets/sheet10.xml?ContentType=application/vnd.openxmlformats-officedocument.spreadsheetml.worksheet+xml">
        <DigestMethod Algorithm="http://www.w3.org/2001/04/xmlenc#sha256"/>
        <DigestValue>AIE9Lalx6Y4ebUi5fwWWxsNacrvlRXHgA2Ar20aJEe8=</DigestValue>
      </Reference>
      <Reference URI="/xl/worksheets/sheet11.xml?ContentType=application/vnd.openxmlformats-officedocument.spreadsheetml.worksheet+xml">
        <DigestMethod Algorithm="http://www.w3.org/2001/04/xmlenc#sha256"/>
        <DigestValue>CuDJZXk6/XBQ1lqj970pNbK2Q1byscVdW4t45woilW4=</DigestValue>
      </Reference>
      <Reference URI="/xl/worksheets/sheet12.xml?ContentType=application/vnd.openxmlformats-officedocument.spreadsheetml.worksheet+xml">
        <DigestMethod Algorithm="http://www.w3.org/2001/04/xmlenc#sha256"/>
        <DigestValue>Hvl/uayR/bEVInvVyD8SICQtSzvaC/OkuxdsCQYlWA4=</DigestValue>
      </Reference>
      <Reference URI="/xl/worksheets/sheet13.xml?ContentType=application/vnd.openxmlformats-officedocument.spreadsheetml.worksheet+xml">
        <DigestMethod Algorithm="http://www.w3.org/2001/04/xmlenc#sha256"/>
        <DigestValue>lRHRuiCXFHqCE0gj//m9MdLGI6zgfZSXvPoqsxTYlvQ=</DigestValue>
      </Reference>
      <Reference URI="/xl/worksheets/sheet14.xml?ContentType=application/vnd.openxmlformats-officedocument.spreadsheetml.worksheet+xml">
        <DigestMethod Algorithm="http://www.w3.org/2001/04/xmlenc#sha256"/>
        <DigestValue>NqergfGY08S5/dIu/cC8kRmFg/56AhfYwwbcF82fDyA=</DigestValue>
      </Reference>
      <Reference URI="/xl/worksheets/sheet15.xml?ContentType=application/vnd.openxmlformats-officedocument.spreadsheetml.worksheet+xml">
        <DigestMethod Algorithm="http://www.w3.org/2001/04/xmlenc#sha256"/>
        <DigestValue>xwo6wv4YuxbXuBDFy29E44NUjZHH71ugavQjnoWSSAo=</DigestValue>
      </Reference>
      <Reference URI="/xl/worksheets/sheet16.xml?ContentType=application/vnd.openxmlformats-officedocument.spreadsheetml.worksheet+xml">
        <DigestMethod Algorithm="http://www.w3.org/2001/04/xmlenc#sha256"/>
        <DigestValue>WZIgPu3yGpIXX7gHru0VvQLmpERpU0I0N8bUUxRd1Jc=</DigestValue>
      </Reference>
      <Reference URI="/xl/worksheets/sheet17.xml?ContentType=application/vnd.openxmlformats-officedocument.spreadsheetml.worksheet+xml">
        <DigestMethod Algorithm="http://www.w3.org/2001/04/xmlenc#sha256"/>
        <DigestValue>F7fXwSSdHtzB/v+8sdeSM/Aa2dxmftgDm3pQurCq3Ic=</DigestValue>
      </Reference>
      <Reference URI="/xl/worksheets/sheet18.xml?ContentType=application/vnd.openxmlformats-officedocument.spreadsheetml.worksheet+xml">
        <DigestMethod Algorithm="http://www.w3.org/2001/04/xmlenc#sha256"/>
        <DigestValue>omlPsMfD2qtyiWh3IZkgjY9bAooYUWGOrzhnGhzKAWc=</DigestValue>
      </Reference>
      <Reference URI="/xl/worksheets/sheet19.xml?ContentType=application/vnd.openxmlformats-officedocument.spreadsheetml.worksheet+xml">
        <DigestMethod Algorithm="http://www.w3.org/2001/04/xmlenc#sha256"/>
        <DigestValue>UWOc/phmKOa3xvS/TW0k6x2Ec8jaXocPlm92ijt+HiU=</DigestValue>
      </Reference>
      <Reference URI="/xl/worksheets/sheet2.xml?ContentType=application/vnd.openxmlformats-officedocument.spreadsheetml.worksheet+xml">
        <DigestMethod Algorithm="http://www.w3.org/2001/04/xmlenc#sha256"/>
        <DigestValue>MGlijvdnhc39Pvlkl5c6Nkwxn2XtKaMWvkzHNPlt82U=</DigestValue>
      </Reference>
      <Reference URI="/xl/worksheets/sheet20.xml?ContentType=application/vnd.openxmlformats-officedocument.spreadsheetml.worksheet+xml">
        <DigestMethod Algorithm="http://www.w3.org/2001/04/xmlenc#sha256"/>
        <DigestValue>UTwzTQxN8YOjCAswdZMJDM6oUd1rujjiqDhLsT1w0ME=</DigestValue>
      </Reference>
      <Reference URI="/xl/worksheets/sheet21.xml?ContentType=application/vnd.openxmlformats-officedocument.spreadsheetml.worksheet+xml">
        <DigestMethod Algorithm="http://www.w3.org/2001/04/xmlenc#sha256"/>
        <DigestValue>cOnPOmJ6K44GWZceadr/dEEvbw3HONesToJmtwQHMdk=</DigestValue>
      </Reference>
      <Reference URI="/xl/worksheets/sheet22.xml?ContentType=application/vnd.openxmlformats-officedocument.spreadsheetml.worksheet+xml">
        <DigestMethod Algorithm="http://www.w3.org/2001/04/xmlenc#sha256"/>
        <DigestValue>PE65N6vhlhOfEJle7XRp3hle7sKhyNL43tMy9AE8MRA=</DigestValue>
      </Reference>
      <Reference URI="/xl/worksheets/sheet23.xml?ContentType=application/vnd.openxmlformats-officedocument.spreadsheetml.worksheet+xml">
        <DigestMethod Algorithm="http://www.w3.org/2001/04/xmlenc#sha256"/>
        <DigestValue>87HWAcvX8rRC/Kzjxd8lFiqk0YvqWqarG82a0CbrvTI=</DigestValue>
      </Reference>
      <Reference URI="/xl/worksheets/sheet24.xml?ContentType=application/vnd.openxmlformats-officedocument.spreadsheetml.worksheet+xml">
        <DigestMethod Algorithm="http://www.w3.org/2001/04/xmlenc#sha256"/>
        <DigestValue>2F/pd03FbRsoE/+KPF6RneP8Ma4kKOwmrk15FBxU0kc=</DigestValue>
      </Reference>
      <Reference URI="/xl/worksheets/sheet25.xml?ContentType=application/vnd.openxmlformats-officedocument.spreadsheetml.worksheet+xml">
        <DigestMethod Algorithm="http://www.w3.org/2001/04/xmlenc#sha256"/>
        <DigestValue>YsHKIr2dBrV96KvQ04Jbtqo9tbhjLVgT4w8GED8Spl8=</DigestValue>
      </Reference>
      <Reference URI="/xl/worksheets/sheet26.xml?ContentType=application/vnd.openxmlformats-officedocument.spreadsheetml.worksheet+xml">
        <DigestMethod Algorithm="http://www.w3.org/2001/04/xmlenc#sha256"/>
        <DigestValue>WjKTCj/qPPzpVOqSsdfcvtSQycp2DsTG0/0yKzppztQ=</DigestValue>
      </Reference>
      <Reference URI="/xl/worksheets/sheet27.xml?ContentType=application/vnd.openxmlformats-officedocument.spreadsheetml.worksheet+xml">
        <DigestMethod Algorithm="http://www.w3.org/2001/04/xmlenc#sha256"/>
        <DigestValue>qASykL3bGlUWMx83Sf/k1lW59nsi3Yv3GmEOAgGQfZY=</DigestValue>
      </Reference>
      <Reference URI="/xl/worksheets/sheet28.xml?ContentType=application/vnd.openxmlformats-officedocument.spreadsheetml.worksheet+xml">
        <DigestMethod Algorithm="http://www.w3.org/2001/04/xmlenc#sha256"/>
        <DigestValue>0H/Ou850X2dN/zZwmTxEyz2zn/LZYqc6mNdNmjUlhG0=</DigestValue>
      </Reference>
      <Reference URI="/xl/worksheets/sheet29.xml?ContentType=application/vnd.openxmlformats-officedocument.spreadsheetml.worksheet+xml">
        <DigestMethod Algorithm="http://www.w3.org/2001/04/xmlenc#sha256"/>
        <DigestValue>A4IICHEHr/QM79ZcYg11p9uE0gYBZlhb6Q+THPOtT9A=</DigestValue>
      </Reference>
      <Reference URI="/xl/worksheets/sheet3.xml?ContentType=application/vnd.openxmlformats-officedocument.spreadsheetml.worksheet+xml">
        <DigestMethod Algorithm="http://www.w3.org/2001/04/xmlenc#sha256"/>
        <DigestValue>4Q0udzkgNXJsTJ56IAD6NWGyDz7NPy5ZEjEMzCXFNqA=</DigestValue>
      </Reference>
      <Reference URI="/xl/worksheets/sheet30.xml?ContentType=application/vnd.openxmlformats-officedocument.spreadsheetml.worksheet+xml">
        <DigestMethod Algorithm="http://www.w3.org/2001/04/xmlenc#sha256"/>
        <DigestValue>pbkk3SUqOi3sIQ6/rOLiVH6xG2DrUtXzS4IuxWC8QWs=</DigestValue>
      </Reference>
      <Reference URI="/xl/worksheets/sheet31.xml?ContentType=application/vnd.openxmlformats-officedocument.spreadsheetml.worksheet+xml">
        <DigestMethod Algorithm="http://www.w3.org/2001/04/xmlenc#sha256"/>
        <DigestValue>ngkite/ILMUk5AIVYzOV/XsCJhQ2U9w3D8cfAR4x1D8=</DigestValue>
      </Reference>
      <Reference URI="/xl/worksheets/sheet32.xml?ContentType=application/vnd.openxmlformats-officedocument.spreadsheetml.worksheet+xml">
        <DigestMethod Algorithm="http://www.w3.org/2001/04/xmlenc#sha256"/>
        <DigestValue>yqk47wmQnrsX+1h2Q8GsZE93h7IEClMzUJHDUhf4hfY=</DigestValue>
      </Reference>
      <Reference URI="/xl/worksheets/sheet33.xml?ContentType=application/vnd.openxmlformats-officedocument.spreadsheetml.worksheet+xml">
        <DigestMethod Algorithm="http://www.w3.org/2001/04/xmlenc#sha256"/>
        <DigestValue>/jVFQD1qG2N+lhorqWU7nl9v8bCsAisJ9Ac/gutdCpo=</DigestValue>
      </Reference>
      <Reference URI="/xl/worksheets/sheet34.xml?ContentType=application/vnd.openxmlformats-officedocument.spreadsheetml.worksheet+xml">
        <DigestMethod Algorithm="http://www.w3.org/2001/04/xmlenc#sha256"/>
        <DigestValue>+ffv7htiVUXUxbUQbM93Zeupg37xjLdr56EGAw3VUrA=</DigestValue>
      </Reference>
      <Reference URI="/xl/worksheets/sheet35.xml?ContentType=application/vnd.openxmlformats-officedocument.spreadsheetml.worksheet+xml">
        <DigestMethod Algorithm="http://www.w3.org/2001/04/xmlenc#sha256"/>
        <DigestValue>Ut89VO05itATvizdEH7BhhHEC+7QJ+dBJ9+6OuH69ho=</DigestValue>
      </Reference>
      <Reference URI="/xl/worksheets/sheet36.xml?ContentType=application/vnd.openxmlformats-officedocument.spreadsheetml.worksheet+xml">
        <DigestMethod Algorithm="http://www.w3.org/2001/04/xmlenc#sha256"/>
        <DigestValue>dA0mjxl3jU2/2APsZJXHF9UnqLhw+LJGj94vP7vJVYk=</DigestValue>
      </Reference>
      <Reference URI="/xl/worksheets/sheet37.xml?ContentType=application/vnd.openxmlformats-officedocument.spreadsheetml.worksheet+xml">
        <DigestMethod Algorithm="http://www.w3.org/2001/04/xmlenc#sha256"/>
        <DigestValue>9uxGy15Zr/KZtQduegUkqH+AD+J2by56lFqGCT6pUfg=</DigestValue>
      </Reference>
      <Reference URI="/xl/worksheets/sheet38.xml?ContentType=application/vnd.openxmlformats-officedocument.spreadsheetml.worksheet+xml">
        <DigestMethod Algorithm="http://www.w3.org/2001/04/xmlenc#sha256"/>
        <DigestValue>ACJsDNYI/LufmFIJ4ZqEROuZHyg82ITzjH/HEPDHoo8=</DigestValue>
      </Reference>
      <Reference URI="/xl/worksheets/sheet39.xml?ContentType=application/vnd.openxmlformats-officedocument.spreadsheetml.worksheet+xml">
        <DigestMethod Algorithm="http://www.w3.org/2001/04/xmlenc#sha256"/>
        <DigestValue>pSR+HvoetI1krVGImOpRhrBrPit/bNjGqLmkcTTSPj0=</DigestValue>
      </Reference>
      <Reference URI="/xl/worksheets/sheet4.xml?ContentType=application/vnd.openxmlformats-officedocument.spreadsheetml.worksheet+xml">
        <DigestMethod Algorithm="http://www.w3.org/2001/04/xmlenc#sha256"/>
        <DigestValue>10QfmcRVCa7enVoXzF3mlh5w4+X8MD7cMhIlrYBTzw8=</DigestValue>
      </Reference>
      <Reference URI="/xl/worksheets/sheet40.xml?ContentType=application/vnd.openxmlformats-officedocument.spreadsheetml.worksheet+xml">
        <DigestMethod Algorithm="http://www.w3.org/2001/04/xmlenc#sha256"/>
        <DigestValue>i11fiBBUbtxUl0YMCXIrpCzpsz64xbyv23djEXYLNFQ=</DigestValue>
      </Reference>
      <Reference URI="/xl/worksheets/sheet41.xml?ContentType=application/vnd.openxmlformats-officedocument.spreadsheetml.worksheet+xml">
        <DigestMethod Algorithm="http://www.w3.org/2001/04/xmlenc#sha256"/>
        <DigestValue>GVXdTe1+RzTJtEEJnd4k/BOxhOs1OKyofP5bxyqbL8s=</DigestValue>
      </Reference>
      <Reference URI="/xl/worksheets/sheet42.xml?ContentType=application/vnd.openxmlformats-officedocument.spreadsheetml.worksheet+xml">
        <DigestMethod Algorithm="http://www.w3.org/2001/04/xmlenc#sha256"/>
        <DigestValue>28O2bxI6iRWYo2yT2xXYuEZqBHlMulmx1p3vZp6Iaso=</DigestValue>
      </Reference>
      <Reference URI="/xl/worksheets/sheet43.xml?ContentType=application/vnd.openxmlformats-officedocument.spreadsheetml.worksheet+xml">
        <DigestMethod Algorithm="http://www.w3.org/2001/04/xmlenc#sha256"/>
        <DigestValue>SUeAfw9ZWAP0/4LG7SqThb9cydR+aGtUKQJHsyvt+4o=</DigestValue>
      </Reference>
      <Reference URI="/xl/worksheets/sheet44.xml?ContentType=application/vnd.openxmlformats-officedocument.spreadsheetml.worksheet+xml">
        <DigestMethod Algorithm="http://www.w3.org/2001/04/xmlenc#sha256"/>
        <DigestValue>Ls25i/vfGJ7zfoWK5qB25xgYGYmITTsIGI+wwljdYWo=</DigestValue>
      </Reference>
      <Reference URI="/xl/worksheets/sheet45.xml?ContentType=application/vnd.openxmlformats-officedocument.spreadsheetml.worksheet+xml">
        <DigestMethod Algorithm="http://www.w3.org/2001/04/xmlenc#sha256"/>
        <DigestValue>Yv6JRFRrE63bK+AY1ZOAVR2mACHl5P4bLA5aW2WwkSA=</DigestValue>
      </Reference>
      <Reference URI="/xl/worksheets/sheet46.xml?ContentType=application/vnd.openxmlformats-officedocument.spreadsheetml.worksheet+xml">
        <DigestMethod Algorithm="http://www.w3.org/2001/04/xmlenc#sha256"/>
        <DigestValue>2bseKnx2EWcIVLNyVJm7YqP95RDhQdJZqyFwM6N7xNE=</DigestValue>
      </Reference>
      <Reference URI="/xl/worksheets/sheet5.xml?ContentType=application/vnd.openxmlformats-officedocument.spreadsheetml.worksheet+xml">
        <DigestMethod Algorithm="http://www.w3.org/2001/04/xmlenc#sha256"/>
        <DigestValue>lxzQX+s7Hxaqq3w3c6oJgA1JJAqkYAJl2KJN/LhQbvk=</DigestValue>
      </Reference>
      <Reference URI="/xl/worksheets/sheet6.xml?ContentType=application/vnd.openxmlformats-officedocument.spreadsheetml.worksheet+xml">
        <DigestMethod Algorithm="http://www.w3.org/2001/04/xmlenc#sha256"/>
        <DigestValue>fCJ0zFiEHiOBxPSjwl5mMaDPUQtqC0nWCO+1NloWnRo=</DigestValue>
      </Reference>
      <Reference URI="/xl/worksheets/sheet7.xml?ContentType=application/vnd.openxmlformats-officedocument.spreadsheetml.worksheet+xml">
        <DigestMethod Algorithm="http://www.w3.org/2001/04/xmlenc#sha256"/>
        <DigestValue>snW1icKydvJ8H9ZQGvVYMM3Z3pexWFCaf4mCw+NhJk4=</DigestValue>
      </Reference>
      <Reference URI="/xl/worksheets/sheet8.xml?ContentType=application/vnd.openxmlformats-officedocument.spreadsheetml.worksheet+xml">
        <DigestMethod Algorithm="http://www.w3.org/2001/04/xmlenc#sha256"/>
        <DigestValue>9iBPpvYs4XqKQPfZxJPyPgaSPDk0L0LayREllbCwqFA=</DigestValue>
      </Reference>
      <Reference URI="/xl/worksheets/sheet9.xml?ContentType=application/vnd.openxmlformats-officedocument.spreadsheetml.worksheet+xml">
        <DigestMethod Algorithm="http://www.w3.org/2001/04/xmlenc#sha256"/>
        <DigestValue>o2si30x2X+LYLNamB6ljcFjKfnxKfoKrAGw++qdlzSA=</DigestValue>
      </Reference>
    </Manifest>
    <SignatureProperties>
      <SignatureProperty Id="idSignatureTime" Target="#idPackageSignature">
        <mdssi:SignatureTime xmlns:mdssi="http://schemas.openxmlformats.org/package/2006/digital-signature">
          <mdssi:Format>YYYY-MM-DDThh:mm:ssTZD</mdssi:Format>
          <mdssi:Value>2025-03-27T12:22:53Z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OfficeVersion>
          <ApplicationVersion>16.0</ApplicationVersion>
          <Monitors>1</Monitors>
          <HorizontalResolution>1600</HorizontalResolution>
          <VerticalResolution>900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2025-03-27T12:22:53Z</xd:SigningTime>
          <xd:SigningCertificate>
            <xd:Cert>
              <xd:CertDigest>
                <DigestMethod Algorithm="http://www.w3.org/2001/04/xmlenc#sha256"/>
                <DigestValue>WbERyBN9QsOF84XoxAg94nCIBEC/w+I5nt3dfGeq+GY=</DigestValue>
              </xd:CertDigest>
              <xd:IssuerSerial>
                <X509IssuerName>SERIALNUMBER=RUC80080610-7, CN=CODE100 S.A., OU=Prestador Cualificado de Servicios de Confianza, O=ICPP, C=PY</X509IssuerName>
                <X509SerialNumber>188338150081208072389311742758369066838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5zFOyWCniOVDOALpZW+OdT8UUHXEm/n8BxWne993RDg=</DigestValue>
    </Reference>
    <Reference Type="http://www.w3.org/2000/09/xmldsig#Object" URI="#idOfficeObject">
      <DigestMethod Algorithm="http://www.w3.org/2001/04/xmlenc#sha256"/>
      <DigestValue>eVF2I0e45wb665jsvVDGhF2aJjYQbhH9X6agXDg2nKw=</DigestValue>
    </Reference>
    <Reference Type="http://uri.etsi.org/01903#SignedProperties" URI="#idSignedProperties">
      <Transforms>
        <Transform Algorithm="http://www.w3.org/TR/2001/REC-xml-c14n-20010315"/>
      </Transforms>
      <DigestMethod Algorithm="http://www.w3.org/2001/04/xmlenc#sha256"/>
      <DigestValue>+4xmq157EAPmgtteSne4dYe+hithZ6c6NyB/vc2K8jc=</DigestValue>
    </Reference>
    <Reference Type="http://www.w3.org/2000/09/xmldsig#Object" URI="#idValidSigLnImg">
      <DigestMethod Algorithm="http://www.w3.org/2001/04/xmlenc#sha256"/>
      <DigestValue>GJt/tYWQYBn9DzRP9h4L5uoC9y4FVMUliuSRsRpfeU4=</DigestValue>
    </Reference>
    <Reference Type="http://www.w3.org/2000/09/xmldsig#Object" URI="#idInvalidSigLnImg">
      <DigestMethod Algorithm="http://www.w3.org/2001/04/xmlenc#sha256"/>
      <DigestValue>rO5YvAwn0hka3uLYG6z9WG8S+oTjf4qw6dpMk1zIgw0=</DigestValue>
    </Reference>
  </SignedInfo>
  <SignatureValue>pAb8shtuPMELyslQ9S/7oOwVNcHS3Unw51VCl4FXriQ+OrtPvhlE48OAQKPebnVbVhG88Xbv4t84
RE9APz3gTnHfHyTfZ6iZDQOD+b9ZTpOV81FGXzlCtmKiIBqi628bXVaaHXG7lLZACZ+On4MZ8kTZ
W+viWLjCAhItwbTNrkWDJtiZUPiWZY3MQo99vnt8XlRuK9ynNxVM/54b5wiU0ZNzyFf4zSr6op7i
EiUsA9MQNRKRV6XqPLFJu2UpgdA9VJhBfa9GlHoiaGbw3xBYjd08u3cDeXgP0t1uSPSUg4Jclyhq
lsU1gG1Rq81D/S1bWMI8FXxf3EMX7pBD8kTLJg==</SignatureValue>
  <KeyInfo>
    <X509Data>
      <X509Certificate>MIIHmjCCBYKgAwIBAgIRAI2wm7j4rcCTR9eFlMXXf1YwDQYJKoZIhvcNAQELBQAwgYUxCzAJBgNVBAYTAlBZMQ0wCwYDVQQKEwRJQ1BQMTgwNgYDVQQLEy9QcmVzdGFkb3IgQ3VhbGlmaWNhZG8gZGUgU2VydmljaW9zIGRlIENvbmZpYW56YTEVMBMGA1UEAxMMQ09ERTEwMCBTLkEuMRYwFAYDVQQFEw1SVUM4MDA4MDYxMC03MB4XDTIzMDUwMjE3NDEyMFoXDTI1MDUwMjE3NDEyMFowgaoxCzAJBgNVBAYTAlBZMTYwNAYDVQQKDC1DRVJUSUZJQ0FETyBDVUFMSUZJQ0FETyBERSBGSVJNQSBFTEVDVFLDk05JQ0ExCzAJBgNVBAsTAkYyMRQwEgYDVQQEEwtMT1BFWiBHT01FWjEPMA0GA1UEKhMGWVNBSUFTMRswGQYDVQQDExJZU0FJQVMgTE9QRVogR09NRVoxEjAQBgNVBAUTCUNJMzg5ODU1NTCCASIwDQYJKoZIhvcNAQEBBQADggEPADCCAQoCggEBALa47dZsZwtmJ58Zr2SsyJBgHh4e/PlzdkXiAOwDg/4GRxB2sQjDiK7X253eR/ooJVVJPmABzJnRWCD5Hdzy3FHD0uuvGyJWZvwE4gj8kFB18SzgAcIEHT1KWfLKcZPIb4BxRAlCAdjkJQkR+faLRjOpol6vZwCcMm8fzqruxumRoks6EZHR1xawjqN7iD5fv6V02DZtYrUlfjhqAhyIJnfXHHweWV75p2Mfu2cVn04h4ncos2EL6Tg3cfLdKueDoqXrp66k1uZpk3gVtwkfYQhcq08uqJFRqS6/KmknlKJNb8qnxbu+Dj6/owOYfBrIT2wcAbCQAaIRMuhY+lDtnp8CAwEAAaOCAtwwggLYMAwGA1UdEwEB/wQCMAAwHQYDVR0OBBYEFCY7t4Yqao3RYA1Qvi8hdXvwnwFBMB8GA1UdIwQYMBaAFL41VGJoYOcm0zHBX5ex4vZkzgf1MA4GA1UdDwEB/wQEAwIF4DBTBgNVHREETDBKgRtZU0FJQVMuTE9QRVpAR0VTVElPTi5DT00uUFm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LBQADggIBAIRY7pILQ0NFxfoOqaO6+y6Mm2gFli5UI2fNn7JSwo1hwEJVrIi2kE/O6sg4/VKQt3aV9mCpVOVO7YwI0XsbpMfL3a/m4A36KL6HbbeSoX2DM5BObjC76JAW3AfR0INoR+B8IhshziO5usvs3OgAng+Ec8FeodVRd9tJ0Ku6UZGM0aGwavdFkTg/Ti0wYazouoGS2q6rjnaMYaRSzmM4lDBL96HsuvEaLbuI3i/qd4BFtMBCaN4ZM797nze0XJYi3vfZ5J51Akvee1rXoyfeohydA1xhUGhBtZQPUbGZDLIWBJ7c2JttAUDBgWTD9lmufKX/q1G6byUc3ZUkcicQEi3nJ0AjJGBH6g6QIV2GF7tlRzZarToTpgqfDSaenL7xkdgGh6EKVpYgPmIsqqfRn8ET+eLL0A3rrv4D7Th0zKj9g9oC9aqOB9PFzpnVjqM5L1WZTO+wSQynl/srFubpvj0c9RkSqWt+exURH072FApwDh+xRwOY93j211vG+dar9QWsHhQUxt/C4g5rA1K4XmbeHSE8j6f2oBvixbbDVq04JDhhNRXcdOv2TpImV3FPmdvPgWdzEaXm93pjTcS+UqBO4Q3jW1L1cxNXm10i15tkFY7R+wlqwakb8fij/ZYSPkz7yNsmyrMCWIjrDNQHF52RyipBGlupGBOh5lfDJBrX</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Transform>
          <Transform Algorithm="http://www.w3.org/TR/2001/REC-xml-c14n-20010315"/>
        </Transforms>
        <DigestMethod Algorithm="http://www.w3.org/2001/04/xmlenc#sha256"/>
        <DigestValue>X0zay39lAcy+joH66+NIv7xgenr+10RaM/eMl+BRvHQ=</DigestValue>
      </Reference>
      <Reference URI="/xl/calcChain.xml?ContentType=application/vnd.openxmlformats-officedocument.spreadsheetml.calcChain+xml">
        <DigestMethod Algorithm="http://www.w3.org/2001/04/xmlenc#sha256"/>
        <DigestValue>fbCCk27TLgesV8Jumswwms/ScvHFBkXBn/G77sxlFFA=</DigestValue>
      </Reference>
      <Reference URI="/xl/comments1.xml?ContentType=application/vnd.openxmlformats-officedocument.spreadsheetml.comments+xml">
        <DigestMethod Algorithm="http://www.w3.org/2001/04/xmlenc#sha256"/>
        <DigestValue>qnLCTzD69tBaj2Lsg6Jm3UbqVYuybhe9x6YPjSqAndM=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VB1yhbw7Gmyj1OTWV/qPomHE5sCDThzc5tVRBFnHCxE=</DigestValue>
      </Reference>
      <Reference URI="/xl/drawings/drawing10.xml?ContentType=application/vnd.openxmlformats-officedocument.drawing+xml">
        <DigestMethod Algorithm="http://www.w3.org/2001/04/xmlenc#sha256"/>
        <DigestValue>M4oiLfApTm1N39o9afLSU//tktDlGcZRNaMQ/vN4EGc=</DigestValue>
      </Reference>
      <Reference URI="/xl/drawings/drawing11.xml?ContentType=application/vnd.openxmlformats-officedocument.drawing+xml">
        <DigestMethod Algorithm="http://www.w3.org/2001/04/xmlenc#sha256"/>
        <DigestValue>prfPEyJG3DtmgObLtakRyZJuZNJJLeFlG/6ahj0ufPc=</DigestValue>
      </Reference>
      <Reference URI="/xl/drawings/drawing12.xml?ContentType=application/vnd.openxmlformats-officedocument.drawing+xml">
        <DigestMethod Algorithm="http://www.w3.org/2001/04/xmlenc#sha256"/>
        <DigestValue>ElgOjqForbR9Jj7Zt7qGVL3cWmvs3VwTTyNJTTulAS4=</DigestValue>
      </Reference>
      <Reference URI="/xl/drawings/drawing13.xml?ContentType=application/vnd.openxmlformats-officedocument.drawing+xml">
        <DigestMethod Algorithm="http://www.w3.org/2001/04/xmlenc#sha256"/>
        <DigestValue>VtWEA9TwWheIRgVchVvI6CM7SMKzhtSy2k7QgLYvoTk=</DigestValue>
      </Reference>
      <Reference URI="/xl/drawings/drawing14.xml?ContentType=application/vnd.openxmlformats-officedocument.drawing+xml">
        <DigestMethod Algorithm="http://www.w3.org/2001/04/xmlenc#sha256"/>
        <DigestValue>o4vWr+q2RW9iQTFwwUiTJ0ubucBXzo26t4yUVCKXwXM=</DigestValue>
      </Reference>
      <Reference URI="/xl/drawings/drawing15.xml?ContentType=application/vnd.openxmlformats-officedocument.drawing+xml">
        <DigestMethod Algorithm="http://www.w3.org/2001/04/xmlenc#sha256"/>
        <DigestValue>056Dhz2Aew7MpdfRQvHak4DXlXgi5aFByk7qUF4wJYA=</DigestValue>
      </Reference>
      <Reference URI="/xl/drawings/drawing16.xml?ContentType=application/vnd.openxmlformats-officedocument.drawing+xml">
        <DigestMethod Algorithm="http://www.w3.org/2001/04/xmlenc#sha256"/>
        <DigestValue>zMHuH22+oCni68SSFUYxYmhKueZXWEMG9do+MC0Eo1g=</DigestValue>
      </Reference>
      <Reference URI="/xl/drawings/drawing17.xml?ContentType=application/vnd.openxmlformats-officedocument.drawing+xml">
        <DigestMethod Algorithm="http://www.w3.org/2001/04/xmlenc#sha256"/>
        <DigestValue>9nqJZgfEyar5HjT2Y7nLsiKYudRvQuq6MgfR24amcuk=</DigestValue>
      </Reference>
      <Reference URI="/xl/drawings/drawing18.xml?ContentType=application/vnd.openxmlformats-officedocument.drawing+xml">
        <DigestMethod Algorithm="http://www.w3.org/2001/04/xmlenc#sha256"/>
        <DigestValue>Q2D78Vy8lMSm22nVXp0zSxhBv0lKK2CUlReZQWhzTqM=</DigestValue>
      </Reference>
      <Reference URI="/xl/drawings/drawing2.xml?ContentType=application/vnd.openxmlformats-officedocument.drawing+xml">
        <DigestMethod Algorithm="http://www.w3.org/2001/04/xmlenc#sha256"/>
        <DigestValue>ZkWAY+GEMZkQJlkThNu9CweLsQpYXIdo6nKP0k+dgfw=</DigestValue>
      </Reference>
      <Reference URI="/xl/drawings/drawing3.xml?ContentType=application/vnd.openxmlformats-officedocument.drawing+xml">
        <DigestMethod Algorithm="http://www.w3.org/2001/04/xmlenc#sha256"/>
        <DigestValue>lo5MvWBofZh/a6jv4sAOMgYTu0NdSALZKz25w3P2fkA=</DigestValue>
      </Reference>
      <Reference URI="/xl/drawings/drawing4.xml?ContentType=application/vnd.openxmlformats-officedocument.drawing+xml">
        <DigestMethod Algorithm="http://www.w3.org/2001/04/xmlenc#sha256"/>
        <DigestValue>U8IihizxGs5Wi6xVpShZRXzN2wQW5UlvtawGGRJr2Mw=</DigestValue>
      </Reference>
      <Reference URI="/xl/drawings/drawing5.xml?ContentType=application/vnd.openxmlformats-officedocument.drawing+xml">
        <DigestMethod Algorithm="http://www.w3.org/2001/04/xmlenc#sha256"/>
        <DigestValue>b3O2jx+fjvCMHMwUtwzFIT18QT5gCrFER0iF62SEaRM=</DigestValue>
      </Reference>
      <Reference URI="/xl/drawings/drawing6.xml?ContentType=application/vnd.openxmlformats-officedocument.drawing+xml">
        <DigestMethod Algorithm="http://www.w3.org/2001/04/xmlenc#sha256"/>
        <DigestValue>kBHwS31qQkQKv4z/0liQa0YoIfr1OJbuoxnr4u+SQDc=</DigestValue>
      </Reference>
      <Reference URI="/xl/drawings/drawing7.xml?ContentType=application/vnd.openxmlformats-officedocument.drawing+xml">
        <DigestMethod Algorithm="http://www.w3.org/2001/04/xmlenc#sha256"/>
        <DigestValue>NRydziRWBJXYM+eP3/wYTG0RDyHW1uHj5g1aNMFMP/4=</DigestValue>
      </Reference>
      <Reference URI="/xl/drawings/drawing8.xml?ContentType=application/vnd.openxmlformats-officedocument.drawing+xml">
        <DigestMethod Algorithm="http://www.w3.org/2001/04/xmlenc#sha256"/>
        <DigestValue>rmt1Fqnn7+mfWClI9pVSbi7fyb1z6bNHWQ6w4hUSaRI=</DigestValue>
      </Reference>
      <Reference URI="/xl/drawings/drawing9.xml?ContentType=application/vnd.openxmlformats-officedocument.drawing+xml">
        <DigestMethod Algorithm="http://www.w3.org/2001/04/xmlenc#sha256"/>
        <DigestValue>5zIsuhnzxAAQTb3ay+MBMmh3WQ6SRjJpYK0mvA3naBo=</DigestValue>
      </Reference>
      <Reference URI="/xl/drawings/vmlDrawing1.vml?ContentType=application/vnd.openxmlformats-officedocument.vmlDrawing">
        <DigestMethod Algorithm="http://www.w3.org/2001/04/xmlenc#sha256"/>
        <DigestValue>1Cv4jLy4lSkORB0ljCO0LlC2jTyEYkjoHJbzNB7k2FU=</DigestValue>
      </Reference>
      <Reference URI="/xl/drawings/vmlDrawing2.vml?ContentType=application/vnd.openxmlformats-officedocument.vmlDrawing">
        <DigestMethod Algorithm="http://www.w3.org/2001/04/xmlenc#sha256"/>
        <DigestValue>kZ2At4ohWjbRf1rwdOAhOXoDLmn46JzALr7IZgjWgtQ=</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h9fJY+lBcUFThe4N+TRU6csYQxyixPEAdH89DalYVpk=</DigestValue>
      </Reference>
      <Reference URI="/xl/externalLinks/externalLink1.xml?ContentType=application/vnd.openxmlformats-officedocument.spreadsheetml.externalLink+xml">
        <DigestMethod Algorithm="http://www.w3.org/2001/04/xmlenc#sha256"/>
        <DigestValue>XNhm+qnDqnrk+TkzUVbZvcgQZgfRgS3WiG1HUvsIoYw=</DigestValue>
      </Reference>
      <Reference URI="/xl/media/image1.png?ContentType=image/png">
        <DigestMethod Algorithm="http://www.w3.org/2001/04/xmlenc#sha256"/>
        <DigestValue>K2NW93tqc6EY2IgJTscfZeNC2EdRt9B2kLaU83bJs38=</DigestValue>
      </Reference>
      <Reference URI="/xl/media/image2.emf?ContentType=image/x-emf">
        <DigestMethod Algorithm="http://www.w3.org/2001/04/xmlenc#sha256"/>
        <DigestValue>/v+grmhFBfBgTfoIMzcBl8wLcdRqv+hiYpfqxSdilfU=</DigestValue>
      </Reference>
      <Reference URI="/xl/media/image3.emf?ContentType=image/x-emf">
        <DigestMethod Algorithm="http://www.w3.org/2001/04/xmlenc#sha256"/>
        <DigestValue>yOWUxYJKNMcN7T+amw2f7y9Spnf600L9CCUGUvP+L64=</DigestValue>
      </Reference>
      <Reference URI="/xl/media/image4.emf?ContentType=image/x-emf">
        <DigestMethod Algorithm="http://www.w3.org/2001/04/xmlenc#sha256"/>
        <DigestValue>PmawVfOdCR9JMs4vXg4Qh204dXSfD6x7RaDJaBef41M=</DigestValue>
      </Reference>
      <Reference URI="/xl/media/image5.emf?ContentType=image/x-emf">
        <DigestMethod Algorithm="http://www.w3.org/2001/04/xmlenc#sha256"/>
        <DigestValue>VYTNltr8I9MMEGNv/BDlf4Kk7yMiUNtVWiU8HKGHXWY=</DigestValue>
      </Reference>
      <Reference URI="/xl/media/image6.emf?ContentType=image/x-emf">
        <DigestMethod Algorithm="http://www.w3.org/2001/04/xmlenc#sha256"/>
        <DigestValue>5xjYICeEbpj4VPj/MJE2dSURUuioSFM7/uxzYiBM5Cw=</DigestValue>
      </Reference>
      <Reference URI="/xl/media/image7.png?ContentType=image/png">
        <DigestMethod Algorithm="http://www.w3.org/2001/04/xmlenc#sha256"/>
        <DigestValue>nnykxL6sHYwxaEYN4bNnKlAbSJy2p6Du/3yKaO3Lq0U=</DigestValue>
      </Reference>
      <Reference URI="/xl/printerSettings/printerSettings1.bin?ContentType=application/vnd.openxmlformats-officedocument.spreadsheetml.printerSettings">
        <DigestMethod Algorithm="http://www.w3.org/2001/04/xmlenc#sha256"/>
        <DigestValue>nJAHBoN2Wdd9B+xnkmN0ykoUgt2u5nrsxBIkEuDEWMI=</DigestValue>
      </Reference>
      <Reference URI="/xl/printerSettings/printerSettings10.bin?ContentType=application/vnd.openxmlformats-officedocument.spreadsheetml.printerSettings">
        <DigestMethod Algorithm="http://www.w3.org/2001/04/xmlenc#sha256"/>
        <DigestValue>ye0ygCp8mAHhrxXVqmrSxJPdXaRWG+7cYDv9YXcB6gc=</DigestValue>
      </Reference>
      <Reference URI="/xl/printerSettings/printerSettings11.bin?ContentType=application/vnd.openxmlformats-officedocument.spreadsheetml.printerSettings">
        <DigestMethod Algorithm="http://www.w3.org/2001/04/xmlenc#sha256"/>
        <DigestValue>ye0ygCp8mAHhrxXVqmrSxJPdXaRWG+7cYDv9YXcB6gc=</DigestValue>
      </Reference>
      <Reference URI="/xl/printerSettings/printerSettings12.bin?ContentType=application/vnd.openxmlformats-officedocument.spreadsheetml.printerSettings">
        <DigestMethod Algorithm="http://www.w3.org/2001/04/xmlenc#sha256"/>
        <DigestValue>1/ZWSL2z/rx8MILo7VSKeZ2fxt90tdO1+d177mn/62I=</DigestValue>
      </Reference>
      <Reference URI="/xl/printerSettings/printerSettings13.bin?ContentType=application/vnd.openxmlformats-officedocument.spreadsheetml.printerSettings">
        <DigestMethod Algorithm="http://www.w3.org/2001/04/xmlenc#sha256"/>
        <DigestValue>89nBNtWGa+e+nMBZt/vG241JYMcErfk0lLyizJbX5DQ=</DigestValue>
      </Reference>
      <Reference URI="/xl/printerSettings/printerSettings14.bin?ContentType=application/vnd.openxmlformats-officedocument.spreadsheetml.printerSettings">
        <DigestMethod Algorithm="http://www.w3.org/2001/04/xmlenc#sha256"/>
        <DigestValue>89nBNtWGa+e+nMBZt/vG241JYMcErfk0lLyizJbX5DQ=</DigestValue>
      </Reference>
      <Reference URI="/xl/printerSettings/printerSettings15.bin?ContentType=application/vnd.openxmlformats-officedocument.spreadsheetml.printerSettings">
        <DigestMethod Algorithm="http://www.w3.org/2001/04/xmlenc#sha256"/>
        <DigestValue>ye0ygCp8mAHhrxXVqmrSxJPdXaRWG+7cYDv9YXcB6gc=</DigestValue>
      </Reference>
      <Reference URI="/xl/printerSettings/printerSettings16.bin?ContentType=application/vnd.openxmlformats-officedocument.spreadsheetml.printerSettings">
        <DigestMethod Algorithm="http://www.w3.org/2001/04/xmlenc#sha256"/>
        <DigestValue>zHpi8B/AzGRLezKgmRPAVYXkZ0umem7y+NaskYMBbNo=</DigestValue>
      </Reference>
      <Reference URI="/xl/printerSettings/printerSettings17.bin?ContentType=application/vnd.openxmlformats-officedocument.spreadsheetml.printerSettings">
        <DigestMethod Algorithm="http://www.w3.org/2001/04/xmlenc#sha256"/>
        <DigestValue>ye0ygCp8mAHhrxXVqmrSxJPdXaRWG+7cYDv9YXcB6gc=</DigestValue>
      </Reference>
      <Reference URI="/xl/printerSettings/printerSettings18.bin?ContentType=application/vnd.openxmlformats-officedocument.spreadsheetml.printerSettings">
        <DigestMethod Algorithm="http://www.w3.org/2001/04/xmlenc#sha256"/>
        <DigestValue>zHpi8B/AzGRLezKgmRPAVYXkZ0umem7y+NaskYMBbNo=</DigestValue>
      </Reference>
      <Reference URI="/xl/printerSettings/printerSettings19.bin?ContentType=application/vnd.openxmlformats-officedocument.spreadsheetml.printerSettings">
        <DigestMethod Algorithm="http://www.w3.org/2001/04/xmlenc#sha256"/>
        <DigestValue>j2fyYiYEDbsNOQmjBcY1ZN1XHPKd9g1sTClCpHYJTxw=</DigestValue>
      </Reference>
      <Reference URI="/xl/printerSettings/printerSettings2.bin?ContentType=application/vnd.openxmlformats-officedocument.spreadsheetml.printerSettings">
        <DigestMethod Algorithm="http://www.w3.org/2001/04/xmlenc#sha256"/>
        <DigestValue>1/ZWSL2z/rx8MILo7VSKeZ2fxt90tdO1+d177mn/62I=</DigestValue>
      </Reference>
      <Reference URI="/xl/printerSettings/printerSettings20.bin?ContentType=application/vnd.openxmlformats-officedocument.spreadsheetml.printerSettings">
        <DigestMethod Algorithm="http://www.w3.org/2001/04/xmlenc#sha256"/>
        <DigestValue>ye0ygCp8mAHhrxXVqmrSxJPdXaRWG+7cYDv9YXcB6gc=</DigestValue>
      </Reference>
      <Reference URI="/xl/printerSettings/printerSettings21.bin?ContentType=application/vnd.openxmlformats-officedocument.spreadsheetml.printerSettings">
        <DigestMethod Algorithm="http://www.w3.org/2001/04/xmlenc#sha256"/>
        <DigestValue>1/ZWSL2z/rx8MILo7VSKeZ2fxt90tdO1+d177mn/62I=</DigestValue>
      </Reference>
      <Reference URI="/xl/printerSettings/printerSettings22.bin?ContentType=application/vnd.openxmlformats-officedocument.spreadsheetml.printerSettings">
        <DigestMethod Algorithm="http://www.w3.org/2001/04/xmlenc#sha256"/>
        <DigestValue>1/ZWSL2z/rx8MILo7VSKeZ2fxt90tdO1+d177mn/62I=</DigestValue>
      </Reference>
      <Reference URI="/xl/printerSettings/printerSettings23.bin?ContentType=application/vnd.openxmlformats-officedocument.spreadsheetml.printerSettings">
        <DigestMethod Algorithm="http://www.w3.org/2001/04/xmlenc#sha256"/>
        <DigestValue>1/ZWSL2z/rx8MILo7VSKeZ2fxt90tdO1+d177mn/62I=</DigestValue>
      </Reference>
      <Reference URI="/xl/printerSettings/printerSettings24.bin?ContentType=application/vnd.openxmlformats-officedocument.spreadsheetml.printerSettings">
        <DigestMethod Algorithm="http://www.w3.org/2001/04/xmlenc#sha256"/>
        <DigestValue>89nBNtWGa+e+nMBZt/vG241JYMcErfk0lLyizJbX5DQ=</DigestValue>
      </Reference>
      <Reference URI="/xl/printerSettings/printerSettings25.bin?ContentType=application/vnd.openxmlformats-officedocument.spreadsheetml.printerSettings">
        <DigestMethod Algorithm="http://www.w3.org/2001/04/xmlenc#sha256"/>
        <DigestValue>1/ZWSL2z/rx8MILo7VSKeZ2fxt90tdO1+d177mn/62I=</DigestValue>
      </Reference>
      <Reference URI="/xl/printerSettings/printerSettings26.bin?ContentType=application/vnd.openxmlformats-officedocument.spreadsheetml.printerSettings">
        <DigestMethod Algorithm="http://www.w3.org/2001/04/xmlenc#sha256"/>
        <DigestValue>ye0ygCp8mAHhrxXVqmrSxJPdXaRWG+7cYDv9YXcB6gc=</DigestValue>
      </Reference>
      <Reference URI="/xl/printerSettings/printerSettings27.bin?ContentType=application/vnd.openxmlformats-officedocument.spreadsheetml.printerSettings">
        <DigestMethod Algorithm="http://www.w3.org/2001/04/xmlenc#sha256"/>
        <DigestValue>ye0ygCp8mAHhrxXVqmrSxJPdXaRWG+7cYDv9YXcB6gc=</DigestValue>
      </Reference>
      <Reference URI="/xl/printerSettings/printerSettings28.bin?ContentType=application/vnd.openxmlformats-officedocument.spreadsheetml.printerSettings">
        <DigestMethod Algorithm="http://www.w3.org/2001/04/xmlenc#sha256"/>
        <DigestValue>uaG0dKgP9fdq5dc9SKOxsjO6aFrN5Az1VSB0/pJmHOY=</DigestValue>
      </Reference>
      <Reference URI="/xl/printerSettings/printerSettings29.bin?ContentType=application/vnd.openxmlformats-officedocument.spreadsheetml.printerSettings">
        <DigestMethod Algorithm="http://www.w3.org/2001/04/xmlenc#sha256"/>
        <DigestValue>1/ZWSL2z/rx8MILo7VSKeZ2fxt90tdO1+d177mn/62I=</DigestValue>
      </Reference>
      <Reference URI="/xl/printerSettings/printerSettings3.bin?ContentType=application/vnd.openxmlformats-officedocument.spreadsheetml.printerSettings">
        <DigestMethod Algorithm="http://www.w3.org/2001/04/xmlenc#sha256"/>
        <DigestValue>1/ZWSL2z/rx8MILo7VSKeZ2fxt90tdO1+d177mn/62I=</DigestValue>
      </Reference>
      <Reference URI="/xl/printerSettings/printerSettings30.bin?ContentType=application/vnd.openxmlformats-officedocument.spreadsheetml.printerSettings">
        <DigestMethod Algorithm="http://www.w3.org/2001/04/xmlenc#sha256"/>
        <DigestValue>nJAHBoN2Wdd9B+xnkmN0ykoUgt2u5nrsxBIkEuDEWMI=</DigestValue>
      </Reference>
      <Reference URI="/xl/printerSettings/printerSettings31.bin?ContentType=application/vnd.openxmlformats-officedocument.spreadsheetml.printerSettings">
        <DigestMethod Algorithm="http://www.w3.org/2001/04/xmlenc#sha256"/>
        <DigestValue>PKvbYuXDtz2QckuDs7cNpUQNkkCqcuMyB+0oxE8UEtI=</DigestValue>
      </Reference>
      <Reference URI="/xl/printerSettings/printerSettings32.bin?ContentType=application/vnd.openxmlformats-officedocument.spreadsheetml.printerSettings">
        <DigestMethod Algorithm="http://www.w3.org/2001/04/xmlenc#sha256"/>
        <DigestValue>ye0ygCp8mAHhrxXVqmrSxJPdXaRWG+7cYDv9YXcB6gc=</DigestValue>
      </Reference>
      <Reference URI="/xl/printerSettings/printerSettings33.bin?ContentType=application/vnd.openxmlformats-officedocument.spreadsheetml.printerSettings">
        <DigestMethod Algorithm="http://www.w3.org/2001/04/xmlenc#sha256"/>
        <DigestValue>89nBNtWGa+e+nMBZt/vG241JYMcErfk0lLyizJbX5DQ=</DigestValue>
      </Reference>
      <Reference URI="/xl/printerSettings/printerSettings34.bin?ContentType=application/vnd.openxmlformats-officedocument.spreadsheetml.printerSettings">
        <DigestMethod Algorithm="http://www.w3.org/2001/04/xmlenc#sha256"/>
        <DigestValue>1/ZWSL2z/rx8MILo7VSKeZ2fxt90tdO1+d177mn/62I=</DigestValue>
      </Reference>
      <Reference URI="/xl/printerSettings/printerSettings35.bin?ContentType=application/vnd.openxmlformats-officedocument.spreadsheetml.printerSettings">
        <DigestMethod Algorithm="http://www.w3.org/2001/04/xmlenc#sha256"/>
        <DigestValue>1/ZWSL2z/rx8MILo7VSKeZ2fxt90tdO1+d177mn/62I=</DigestValue>
      </Reference>
      <Reference URI="/xl/printerSettings/printerSettings36.bin?ContentType=application/vnd.openxmlformats-officedocument.spreadsheetml.printerSettings">
        <DigestMethod Algorithm="http://www.w3.org/2001/04/xmlenc#sha256"/>
        <DigestValue>PKvbYuXDtz2QckuDs7cNpUQNkkCqcuMyB+0oxE8UEtI=</DigestValue>
      </Reference>
      <Reference URI="/xl/printerSettings/printerSettings37.bin?ContentType=application/vnd.openxmlformats-officedocument.spreadsheetml.printerSettings">
        <DigestMethod Algorithm="http://www.w3.org/2001/04/xmlenc#sha256"/>
        <DigestValue>1/ZWSL2z/rx8MILo7VSKeZ2fxt90tdO1+d177mn/62I=</DigestValue>
      </Reference>
      <Reference URI="/xl/printerSettings/printerSettings38.bin?ContentType=application/vnd.openxmlformats-officedocument.spreadsheetml.printerSettings">
        <DigestMethod Algorithm="http://www.w3.org/2001/04/xmlenc#sha256"/>
        <DigestValue>uaG0dKgP9fdq5dc9SKOxsjO6aFrN5Az1VSB0/pJmHOY=</DigestValue>
      </Reference>
      <Reference URI="/xl/printerSettings/printerSettings39.bin?ContentType=application/vnd.openxmlformats-officedocument.spreadsheetml.printerSettings">
        <DigestMethod Algorithm="http://www.w3.org/2001/04/xmlenc#sha256"/>
        <DigestValue>1/ZWSL2z/rx8MILo7VSKeZ2fxt90tdO1+d177mn/62I=</DigestValue>
      </Reference>
      <Reference URI="/xl/printerSettings/printerSettings4.bin?ContentType=application/vnd.openxmlformats-officedocument.spreadsheetml.printerSettings">
        <DigestMethod Algorithm="http://www.w3.org/2001/04/xmlenc#sha256"/>
        <DigestValue>89nBNtWGa+e+nMBZt/vG241JYMcErfk0lLyizJbX5DQ=</DigestValue>
      </Reference>
      <Reference URI="/xl/printerSettings/printerSettings40.bin?ContentType=application/vnd.openxmlformats-officedocument.spreadsheetml.printerSettings">
        <DigestMethod Algorithm="http://www.w3.org/2001/04/xmlenc#sha256"/>
        <DigestValue>nJAHBoN2Wdd9B+xnkmN0ykoUgt2u5nrsxBIkEuDEWMI=</DigestValue>
      </Reference>
      <Reference URI="/xl/printerSettings/printerSettings41.bin?ContentType=application/vnd.openxmlformats-officedocument.spreadsheetml.printerSettings">
        <DigestMethod Algorithm="http://www.w3.org/2001/04/xmlenc#sha256"/>
        <DigestValue>zHpi8B/AzGRLezKgmRPAVYXkZ0umem7y+NaskYMBbNo=</DigestValue>
      </Reference>
      <Reference URI="/xl/printerSettings/printerSettings42.bin?ContentType=application/vnd.openxmlformats-officedocument.spreadsheetml.printerSettings">
        <DigestMethod Algorithm="http://www.w3.org/2001/04/xmlenc#sha256"/>
        <DigestValue>1/ZWSL2z/rx8MILo7VSKeZ2fxt90tdO1+d177mn/62I=</DigestValue>
      </Reference>
      <Reference URI="/xl/printerSettings/printerSettings43.bin?ContentType=application/vnd.openxmlformats-officedocument.spreadsheetml.printerSettings">
        <DigestMethod Algorithm="http://www.w3.org/2001/04/xmlenc#sha256"/>
        <DigestValue>zHpi8B/AzGRLezKgmRPAVYXkZ0umem7y+NaskYMBbNo=</DigestValue>
      </Reference>
      <Reference URI="/xl/printerSettings/printerSettings44.bin?ContentType=application/vnd.openxmlformats-officedocument.spreadsheetml.printerSettings">
        <DigestMethod Algorithm="http://www.w3.org/2001/04/xmlenc#sha256"/>
        <DigestValue>zHpi8B/AzGRLezKgmRPAVYXkZ0umem7y+NaskYMBbNo=</DigestValue>
      </Reference>
      <Reference URI="/xl/printerSettings/printerSettings45.bin?ContentType=application/vnd.openxmlformats-officedocument.spreadsheetml.printerSettings">
        <DigestMethod Algorithm="http://www.w3.org/2001/04/xmlenc#sha256"/>
        <DigestValue>PKvbYuXDtz2QckuDs7cNpUQNkkCqcuMyB+0oxE8UEtI=</DigestValue>
      </Reference>
      <Reference URI="/xl/printerSettings/printerSettings46.bin?ContentType=application/vnd.openxmlformats-officedocument.spreadsheetml.printerSettings">
        <DigestMethod Algorithm="http://www.w3.org/2001/04/xmlenc#sha256"/>
        <DigestValue>PKvbYuXDtz2QckuDs7cNpUQNkkCqcuMyB+0oxE8UEtI=</DigestValue>
      </Reference>
      <Reference URI="/xl/printerSettings/printerSettings5.bin?ContentType=application/vnd.openxmlformats-officedocument.spreadsheetml.printerSettings">
        <DigestMethod Algorithm="http://www.w3.org/2001/04/xmlenc#sha256"/>
        <DigestValue>SK3ve5YjWvCu/bPgXnCB+vXPOFLwdezqOIyUlNYX1Rs=</DigestValue>
      </Reference>
      <Reference URI="/xl/printerSettings/printerSettings6.bin?ContentType=application/vnd.openxmlformats-officedocument.spreadsheetml.printerSettings">
        <DigestMethod Algorithm="http://www.w3.org/2001/04/xmlenc#sha256"/>
        <DigestValue>ye0ygCp8mAHhrxXVqmrSxJPdXaRWG+7cYDv9YXcB6gc=</DigestValue>
      </Reference>
      <Reference URI="/xl/printerSettings/printerSettings7.bin?ContentType=application/vnd.openxmlformats-officedocument.spreadsheetml.printerSettings">
        <DigestMethod Algorithm="http://www.w3.org/2001/04/xmlenc#sha256"/>
        <DigestValue>eREZYrwMnkZvA29/8E4+7aeM8YqNhZtvIilWyIDfBbU=</DigestValue>
      </Reference>
      <Reference URI="/xl/printerSettings/printerSettings8.bin?ContentType=application/vnd.openxmlformats-officedocument.spreadsheetml.printerSettings">
        <DigestMethod Algorithm="http://www.w3.org/2001/04/xmlenc#sha256"/>
        <DigestValue>ye0ygCp8mAHhrxXVqmrSxJPdXaRWG+7cYDv9YXcB6gc=</DigestValue>
      </Reference>
      <Reference URI="/xl/printerSettings/printerSettings9.bin?ContentType=application/vnd.openxmlformats-officedocument.spreadsheetml.printerSettings">
        <DigestMethod Algorithm="http://www.w3.org/2001/04/xmlenc#sha256"/>
        <DigestValue>ye0ygCp8mAHhrxXVqmrSxJPdXaRWG+7cYDv9YXcB6gc=</DigestValue>
      </Reference>
      <Reference URI="/xl/sharedStrings.xml?ContentType=application/vnd.openxmlformats-officedocument.spreadsheetml.sharedStrings+xml">
        <DigestMethod Algorithm="http://www.w3.org/2001/04/xmlenc#sha256"/>
        <DigestValue>B1bZpjOBGENlWdWX2UMbYB2PpQYK2vFXnWQRur+zoPU=</DigestValue>
      </Reference>
      <Reference URI="/xl/styles.xml?ContentType=application/vnd.openxmlformats-officedocument.spreadsheetml.styles+xml">
        <DigestMethod Algorithm="http://www.w3.org/2001/04/xmlenc#sha256"/>
        <DigestValue>UR5/yYnoSV3ME6e901pEWZ8xoyW5mT2e2Jz6epQkBJo=</DigestValue>
      </Reference>
      <Reference URI="/xl/theme/theme1.xml?ContentType=application/vnd.openxmlformats-officedocument.theme+xml">
        <DigestMethod Algorithm="http://www.w3.org/2001/04/xmlenc#sha256"/>
        <DigestValue>9ZDC2JufYryaQksRfNXU723Z+OanJ/58pfsnHEq2DUE=</DigestValue>
      </Reference>
      <Reference URI="/xl/workbook.xml?ContentType=application/vnd.openxmlformats-officedocument.spreadsheetml.sheet.main+xml">
        <DigestMethod Algorithm="http://www.w3.org/2001/04/xmlenc#sha256"/>
        <DigestValue>rN6Ms0R2JZh/5uGW3D/Le9/dFVDmZUXSjGlF8lqzEms=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OG64TWTD7j+T6XEgwX6U1t2JQ9uBwF5JfRZ27xxpJ+w=</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aYXRgcDQ1Zc3QOfgyhqLIFev18/0l/S8gnTb1puzGIU=</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a44YNjtiym0S9exNLLrYg/u0IjW9EHsUCQlLPMlbO/o=</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HdiCc2p1UdKZddbHWP2HyFRaoEzeashVOh5eS2LOudg=</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7KnOMn7UlXli3Jy1eYmN5veK0HI9TOlohTDdyttJaLI=</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oCA/gRRRvc+jJc1iCaZLWrOziIRnDRXjxvYvv33q2GU=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w9kJgC3POm8IXkF8apaHYpiB7UgESnMvh8+REVGXmoc=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M1DPmTSPxL6pjK6Hlh39zRu5bD4dygfn4SBqudnogyE=</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aUH3EIC3LJ1WlPFqNXrO/jOyW/nktb+VO6C48U39/oI=</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k432tqojAmZglSJMpQHY06sOwkUHw93eXxXEqXwyorw=</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xwsv2H/gebHOpn0u17DPxoNhPhoF79jqTl8wgDpXcoc=</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tDoQKO/BkLp4kR3UztCc7PA22VmRNizbvJ+5Z2HWEFU=</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rLdvf3yY2ekrKu60idP2MsLKORy6SOjqi0FnsyMynGM=</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0k9F14bi/16tdQhj4IyNfKjYKY/Wxdjc6uOJZt2NSFQ=</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IgAbisjOm+Z/o4medQzuRzY+pxXjrkDU9o+AIfBQFik=</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k1lyfwqmmD/+IoVTg0kz9LzXUr1Uk3Si/nXVc+rnGMI=</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in1AbNBHz/S0qRwmZrYRmD6KDCBFiMU7ahORI/fscjY=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Cp9PA/EMUCmFN0rjs+ZKFhODDEGzJl8Ch1IdmuYTIUc=</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3iS29RgGizUTgmtBni8degzLfqWHy2uN4AVjRehr32M=</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nE0f+bF4IP96+tRIO9//VfSQTMl2/L1srvLlnHh7IeU=</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yLbFZOaatprfLLCZ68UZZxklXbzIrPkQXwNXZh1aUe4=</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I/R5yBYm6QMCUJuO8adD1NqOmD8fFhRangLh6nczLNQ=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2ftlSe7ENmwNdQ2MT4KexOA7ta+EHJXAokRQ/Sbe+To=</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0Bnugy7bzitJja739ggKaHQvkr3zKO9A9jpqBY3DiaI=</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82V9aXy3uiUF6h1goyLp993S42PSVT9uLFPxLc8qapo=</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1s/0Bn5zbBkiPy5hlL8rDE6/bmHjfNkm2MgsRuE+aR4=</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7/nemkTZSr1q715vAnYThMf5LzqTkmT+F+jq4QRqzpc=</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OwLohzYa4yen+N/yh2Zb+LLn80QJzm2nQIKSJKSFB/8=</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Y09xDoIGSmpx0MjWTeeEB8jIZEw0AQth19CsyTGwE8w=</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RofjFfDGEQEcA4cUnvodX7beZGieR+bW06/zJsc/T9U=</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1HjkxtgHDD2Y4CVW+ZVs76QTr049Upzf5O5AkLJUa4c=</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6Bbz0o48hzTUTtF6fo4ewGqu0GdHL0idXEEWlAzVmQ4=</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OsJnUIw8ZJm/JrtcL/mX12XnIt31BUOzLCNpse9AlCc=</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Jqu8TGjuincglhnXIRPw5rTdx9ds1e5FUfNPGK7lUxY=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FTLUZSzyPImP/h/5pTtmsiVav3XAxsSoaQXEM6xZNng=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eulYRWlfdY6JQDzO5q0VKDizVJzlUVk+OB91z40Pthc=</DigestValue>
      </Reference>
      <Reference URI="/xl/worksheets/sheet10.xml?ContentType=application/vnd.openxmlformats-officedocument.spreadsheetml.worksheet+xml">
        <DigestMethod Algorithm="http://www.w3.org/2001/04/xmlenc#sha256"/>
        <DigestValue>AIE9Lalx6Y4ebUi5fwWWxsNacrvlRXHgA2Ar20aJEe8=</DigestValue>
      </Reference>
      <Reference URI="/xl/worksheets/sheet11.xml?ContentType=application/vnd.openxmlformats-officedocument.spreadsheetml.worksheet+xml">
        <DigestMethod Algorithm="http://www.w3.org/2001/04/xmlenc#sha256"/>
        <DigestValue>CuDJZXk6/XBQ1lqj970pNbK2Q1byscVdW4t45woilW4=</DigestValue>
      </Reference>
      <Reference URI="/xl/worksheets/sheet12.xml?ContentType=application/vnd.openxmlformats-officedocument.spreadsheetml.worksheet+xml">
        <DigestMethod Algorithm="http://www.w3.org/2001/04/xmlenc#sha256"/>
        <DigestValue>Hvl/uayR/bEVInvVyD8SICQtSzvaC/OkuxdsCQYlWA4=</DigestValue>
      </Reference>
      <Reference URI="/xl/worksheets/sheet13.xml?ContentType=application/vnd.openxmlformats-officedocument.spreadsheetml.worksheet+xml">
        <DigestMethod Algorithm="http://www.w3.org/2001/04/xmlenc#sha256"/>
        <DigestValue>lRHRuiCXFHqCE0gj//m9MdLGI6zgfZSXvPoqsxTYlvQ=</DigestValue>
      </Reference>
      <Reference URI="/xl/worksheets/sheet14.xml?ContentType=application/vnd.openxmlformats-officedocument.spreadsheetml.worksheet+xml">
        <DigestMethod Algorithm="http://www.w3.org/2001/04/xmlenc#sha256"/>
        <DigestValue>NqergfGY08S5/dIu/cC8kRmFg/56AhfYwwbcF82fDyA=</DigestValue>
      </Reference>
      <Reference URI="/xl/worksheets/sheet15.xml?ContentType=application/vnd.openxmlformats-officedocument.spreadsheetml.worksheet+xml">
        <DigestMethod Algorithm="http://www.w3.org/2001/04/xmlenc#sha256"/>
        <DigestValue>xwo6wv4YuxbXuBDFy29E44NUjZHH71ugavQjnoWSSAo=</DigestValue>
      </Reference>
      <Reference URI="/xl/worksheets/sheet16.xml?ContentType=application/vnd.openxmlformats-officedocument.spreadsheetml.worksheet+xml">
        <DigestMethod Algorithm="http://www.w3.org/2001/04/xmlenc#sha256"/>
        <DigestValue>WZIgPu3yGpIXX7gHru0VvQLmpERpU0I0N8bUUxRd1Jc=</DigestValue>
      </Reference>
      <Reference URI="/xl/worksheets/sheet17.xml?ContentType=application/vnd.openxmlformats-officedocument.spreadsheetml.worksheet+xml">
        <DigestMethod Algorithm="http://www.w3.org/2001/04/xmlenc#sha256"/>
        <DigestValue>F7fXwSSdHtzB/v+8sdeSM/Aa2dxmftgDm3pQurCq3Ic=</DigestValue>
      </Reference>
      <Reference URI="/xl/worksheets/sheet18.xml?ContentType=application/vnd.openxmlformats-officedocument.spreadsheetml.worksheet+xml">
        <DigestMethod Algorithm="http://www.w3.org/2001/04/xmlenc#sha256"/>
        <DigestValue>omlPsMfD2qtyiWh3IZkgjY9bAooYUWGOrzhnGhzKAWc=</DigestValue>
      </Reference>
      <Reference URI="/xl/worksheets/sheet19.xml?ContentType=application/vnd.openxmlformats-officedocument.spreadsheetml.worksheet+xml">
        <DigestMethod Algorithm="http://www.w3.org/2001/04/xmlenc#sha256"/>
        <DigestValue>UWOc/phmKOa3xvS/TW0k6x2Ec8jaXocPlm92ijt+HiU=</DigestValue>
      </Reference>
      <Reference URI="/xl/worksheets/sheet2.xml?ContentType=application/vnd.openxmlformats-officedocument.spreadsheetml.worksheet+xml">
        <DigestMethod Algorithm="http://www.w3.org/2001/04/xmlenc#sha256"/>
        <DigestValue>MGlijvdnhc39Pvlkl5c6Nkwxn2XtKaMWvkzHNPlt82U=</DigestValue>
      </Reference>
      <Reference URI="/xl/worksheets/sheet20.xml?ContentType=application/vnd.openxmlformats-officedocument.spreadsheetml.worksheet+xml">
        <DigestMethod Algorithm="http://www.w3.org/2001/04/xmlenc#sha256"/>
        <DigestValue>UTwzTQxN8YOjCAswdZMJDM6oUd1rujjiqDhLsT1w0ME=</DigestValue>
      </Reference>
      <Reference URI="/xl/worksheets/sheet21.xml?ContentType=application/vnd.openxmlformats-officedocument.spreadsheetml.worksheet+xml">
        <DigestMethod Algorithm="http://www.w3.org/2001/04/xmlenc#sha256"/>
        <DigestValue>cOnPOmJ6K44GWZceadr/dEEvbw3HONesToJmtwQHMdk=</DigestValue>
      </Reference>
      <Reference URI="/xl/worksheets/sheet22.xml?ContentType=application/vnd.openxmlformats-officedocument.spreadsheetml.worksheet+xml">
        <DigestMethod Algorithm="http://www.w3.org/2001/04/xmlenc#sha256"/>
        <DigestValue>PE65N6vhlhOfEJle7XRp3hle7sKhyNL43tMy9AE8MRA=</DigestValue>
      </Reference>
      <Reference URI="/xl/worksheets/sheet23.xml?ContentType=application/vnd.openxmlformats-officedocument.spreadsheetml.worksheet+xml">
        <DigestMethod Algorithm="http://www.w3.org/2001/04/xmlenc#sha256"/>
        <DigestValue>87HWAcvX8rRC/Kzjxd8lFiqk0YvqWqarG82a0CbrvTI=</DigestValue>
      </Reference>
      <Reference URI="/xl/worksheets/sheet24.xml?ContentType=application/vnd.openxmlformats-officedocument.spreadsheetml.worksheet+xml">
        <DigestMethod Algorithm="http://www.w3.org/2001/04/xmlenc#sha256"/>
        <DigestValue>2F/pd03FbRsoE/+KPF6RneP8Ma4kKOwmrk15FBxU0kc=</DigestValue>
      </Reference>
      <Reference URI="/xl/worksheets/sheet25.xml?ContentType=application/vnd.openxmlformats-officedocument.spreadsheetml.worksheet+xml">
        <DigestMethod Algorithm="http://www.w3.org/2001/04/xmlenc#sha256"/>
        <DigestValue>YsHKIr2dBrV96KvQ04Jbtqo9tbhjLVgT4w8GED8Spl8=</DigestValue>
      </Reference>
      <Reference URI="/xl/worksheets/sheet26.xml?ContentType=application/vnd.openxmlformats-officedocument.spreadsheetml.worksheet+xml">
        <DigestMethod Algorithm="http://www.w3.org/2001/04/xmlenc#sha256"/>
        <DigestValue>WjKTCj/qPPzpVOqSsdfcvtSQycp2DsTG0/0yKzppztQ=</DigestValue>
      </Reference>
      <Reference URI="/xl/worksheets/sheet27.xml?ContentType=application/vnd.openxmlformats-officedocument.spreadsheetml.worksheet+xml">
        <DigestMethod Algorithm="http://www.w3.org/2001/04/xmlenc#sha256"/>
        <DigestValue>qASykL3bGlUWMx83Sf/k1lW59nsi3Yv3GmEOAgGQfZY=</DigestValue>
      </Reference>
      <Reference URI="/xl/worksheets/sheet28.xml?ContentType=application/vnd.openxmlformats-officedocument.spreadsheetml.worksheet+xml">
        <DigestMethod Algorithm="http://www.w3.org/2001/04/xmlenc#sha256"/>
        <DigestValue>0H/Ou850X2dN/zZwmTxEyz2zn/LZYqc6mNdNmjUlhG0=</DigestValue>
      </Reference>
      <Reference URI="/xl/worksheets/sheet29.xml?ContentType=application/vnd.openxmlformats-officedocument.spreadsheetml.worksheet+xml">
        <DigestMethod Algorithm="http://www.w3.org/2001/04/xmlenc#sha256"/>
        <DigestValue>A4IICHEHr/QM79ZcYg11p9uE0gYBZlhb6Q+THPOtT9A=</DigestValue>
      </Reference>
      <Reference URI="/xl/worksheets/sheet3.xml?ContentType=application/vnd.openxmlformats-officedocument.spreadsheetml.worksheet+xml">
        <DigestMethod Algorithm="http://www.w3.org/2001/04/xmlenc#sha256"/>
        <DigestValue>4Q0udzkgNXJsTJ56IAD6NWGyDz7NPy5ZEjEMzCXFNqA=</DigestValue>
      </Reference>
      <Reference URI="/xl/worksheets/sheet30.xml?ContentType=application/vnd.openxmlformats-officedocument.spreadsheetml.worksheet+xml">
        <DigestMethod Algorithm="http://www.w3.org/2001/04/xmlenc#sha256"/>
        <DigestValue>pbkk3SUqOi3sIQ6/rOLiVH6xG2DrUtXzS4IuxWC8QWs=</DigestValue>
      </Reference>
      <Reference URI="/xl/worksheets/sheet31.xml?ContentType=application/vnd.openxmlformats-officedocument.spreadsheetml.worksheet+xml">
        <DigestMethod Algorithm="http://www.w3.org/2001/04/xmlenc#sha256"/>
        <DigestValue>ngkite/ILMUk5AIVYzOV/XsCJhQ2U9w3D8cfAR4x1D8=</DigestValue>
      </Reference>
      <Reference URI="/xl/worksheets/sheet32.xml?ContentType=application/vnd.openxmlformats-officedocument.spreadsheetml.worksheet+xml">
        <DigestMethod Algorithm="http://www.w3.org/2001/04/xmlenc#sha256"/>
        <DigestValue>yqk47wmQnrsX+1h2Q8GsZE93h7IEClMzUJHDUhf4hfY=</DigestValue>
      </Reference>
      <Reference URI="/xl/worksheets/sheet33.xml?ContentType=application/vnd.openxmlformats-officedocument.spreadsheetml.worksheet+xml">
        <DigestMethod Algorithm="http://www.w3.org/2001/04/xmlenc#sha256"/>
        <DigestValue>/jVFQD1qG2N+lhorqWU7nl9v8bCsAisJ9Ac/gutdCpo=</DigestValue>
      </Reference>
      <Reference URI="/xl/worksheets/sheet34.xml?ContentType=application/vnd.openxmlformats-officedocument.spreadsheetml.worksheet+xml">
        <DigestMethod Algorithm="http://www.w3.org/2001/04/xmlenc#sha256"/>
        <DigestValue>+ffv7htiVUXUxbUQbM93Zeupg37xjLdr56EGAw3VUrA=</DigestValue>
      </Reference>
      <Reference URI="/xl/worksheets/sheet35.xml?ContentType=application/vnd.openxmlformats-officedocument.spreadsheetml.worksheet+xml">
        <DigestMethod Algorithm="http://www.w3.org/2001/04/xmlenc#sha256"/>
        <DigestValue>Ut89VO05itATvizdEH7BhhHEC+7QJ+dBJ9+6OuH69ho=</DigestValue>
      </Reference>
      <Reference URI="/xl/worksheets/sheet36.xml?ContentType=application/vnd.openxmlformats-officedocument.spreadsheetml.worksheet+xml">
        <DigestMethod Algorithm="http://www.w3.org/2001/04/xmlenc#sha256"/>
        <DigestValue>dA0mjxl3jU2/2APsZJXHF9UnqLhw+LJGj94vP7vJVYk=</DigestValue>
      </Reference>
      <Reference URI="/xl/worksheets/sheet37.xml?ContentType=application/vnd.openxmlformats-officedocument.spreadsheetml.worksheet+xml">
        <DigestMethod Algorithm="http://www.w3.org/2001/04/xmlenc#sha256"/>
        <DigestValue>9uxGy15Zr/KZtQduegUkqH+AD+J2by56lFqGCT6pUfg=</DigestValue>
      </Reference>
      <Reference URI="/xl/worksheets/sheet38.xml?ContentType=application/vnd.openxmlformats-officedocument.spreadsheetml.worksheet+xml">
        <DigestMethod Algorithm="http://www.w3.org/2001/04/xmlenc#sha256"/>
        <DigestValue>ACJsDNYI/LufmFIJ4ZqEROuZHyg82ITzjH/HEPDHoo8=</DigestValue>
      </Reference>
      <Reference URI="/xl/worksheets/sheet39.xml?ContentType=application/vnd.openxmlformats-officedocument.spreadsheetml.worksheet+xml">
        <DigestMethod Algorithm="http://www.w3.org/2001/04/xmlenc#sha256"/>
        <DigestValue>pSR+HvoetI1krVGImOpRhrBrPit/bNjGqLmkcTTSPj0=</DigestValue>
      </Reference>
      <Reference URI="/xl/worksheets/sheet4.xml?ContentType=application/vnd.openxmlformats-officedocument.spreadsheetml.worksheet+xml">
        <DigestMethod Algorithm="http://www.w3.org/2001/04/xmlenc#sha256"/>
        <DigestValue>10QfmcRVCa7enVoXzF3mlh5w4+X8MD7cMhIlrYBTzw8=</DigestValue>
      </Reference>
      <Reference URI="/xl/worksheets/sheet40.xml?ContentType=application/vnd.openxmlformats-officedocument.spreadsheetml.worksheet+xml">
        <DigestMethod Algorithm="http://www.w3.org/2001/04/xmlenc#sha256"/>
        <DigestValue>i11fiBBUbtxUl0YMCXIrpCzpsz64xbyv23djEXYLNFQ=</DigestValue>
      </Reference>
      <Reference URI="/xl/worksheets/sheet41.xml?ContentType=application/vnd.openxmlformats-officedocument.spreadsheetml.worksheet+xml">
        <DigestMethod Algorithm="http://www.w3.org/2001/04/xmlenc#sha256"/>
        <DigestValue>GVXdTe1+RzTJtEEJnd4k/BOxhOs1OKyofP5bxyqbL8s=</DigestValue>
      </Reference>
      <Reference URI="/xl/worksheets/sheet42.xml?ContentType=application/vnd.openxmlformats-officedocument.spreadsheetml.worksheet+xml">
        <DigestMethod Algorithm="http://www.w3.org/2001/04/xmlenc#sha256"/>
        <DigestValue>28O2bxI6iRWYo2yT2xXYuEZqBHlMulmx1p3vZp6Iaso=</DigestValue>
      </Reference>
      <Reference URI="/xl/worksheets/sheet43.xml?ContentType=application/vnd.openxmlformats-officedocument.spreadsheetml.worksheet+xml">
        <DigestMethod Algorithm="http://www.w3.org/2001/04/xmlenc#sha256"/>
        <DigestValue>SUeAfw9ZWAP0/4LG7SqThb9cydR+aGtUKQJHsyvt+4o=</DigestValue>
      </Reference>
      <Reference URI="/xl/worksheets/sheet44.xml?ContentType=application/vnd.openxmlformats-officedocument.spreadsheetml.worksheet+xml">
        <DigestMethod Algorithm="http://www.w3.org/2001/04/xmlenc#sha256"/>
        <DigestValue>Ls25i/vfGJ7zfoWK5qB25xgYGYmITTsIGI+wwljdYWo=</DigestValue>
      </Reference>
      <Reference URI="/xl/worksheets/sheet45.xml?ContentType=application/vnd.openxmlformats-officedocument.spreadsheetml.worksheet+xml">
        <DigestMethod Algorithm="http://www.w3.org/2001/04/xmlenc#sha256"/>
        <DigestValue>Yv6JRFRrE63bK+AY1ZOAVR2mACHl5P4bLA5aW2WwkSA=</DigestValue>
      </Reference>
      <Reference URI="/xl/worksheets/sheet46.xml?ContentType=application/vnd.openxmlformats-officedocument.spreadsheetml.worksheet+xml">
        <DigestMethod Algorithm="http://www.w3.org/2001/04/xmlenc#sha256"/>
        <DigestValue>2bseKnx2EWcIVLNyVJm7YqP95RDhQdJZqyFwM6N7xNE=</DigestValue>
      </Reference>
      <Reference URI="/xl/worksheets/sheet5.xml?ContentType=application/vnd.openxmlformats-officedocument.spreadsheetml.worksheet+xml">
        <DigestMethod Algorithm="http://www.w3.org/2001/04/xmlenc#sha256"/>
        <DigestValue>lxzQX+s7Hxaqq3w3c6oJgA1JJAqkYAJl2KJN/LhQbvk=</DigestValue>
      </Reference>
      <Reference URI="/xl/worksheets/sheet6.xml?ContentType=application/vnd.openxmlformats-officedocument.spreadsheetml.worksheet+xml">
        <DigestMethod Algorithm="http://www.w3.org/2001/04/xmlenc#sha256"/>
        <DigestValue>fCJ0zFiEHiOBxPSjwl5mMaDPUQtqC0nWCO+1NloWnRo=</DigestValue>
      </Reference>
      <Reference URI="/xl/worksheets/sheet7.xml?ContentType=application/vnd.openxmlformats-officedocument.spreadsheetml.worksheet+xml">
        <DigestMethod Algorithm="http://www.w3.org/2001/04/xmlenc#sha256"/>
        <DigestValue>snW1icKydvJ8H9ZQGvVYMM3Z3pexWFCaf4mCw+NhJk4=</DigestValue>
      </Reference>
      <Reference URI="/xl/worksheets/sheet8.xml?ContentType=application/vnd.openxmlformats-officedocument.spreadsheetml.worksheet+xml">
        <DigestMethod Algorithm="http://www.w3.org/2001/04/xmlenc#sha256"/>
        <DigestValue>9iBPpvYs4XqKQPfZxJPyPgaSPDk0L0LayREllbCwqFA=</DigestValue>
      </Reference>
      <Reference URI="/xl/worksheets/sheet9.xml?ContentType=application/vnd.openxmlformats-officedocument.spreadsheetml.worksheet+xml">
        <DigestMethod Algorithm="http://www.w3.org/2001/04/xmlenc#sha256"/>
        <DigestValue>o2si30x2X+LYLNamB6ljcFjKfnxKfoKrAGw++qdlzSA=</DigestValue>
      </Reference>
    </Manifest>
    <SignatureProperties>
      <SignatureProperty Id="idSignatureTime" Target="#idPackageSignature">
        <mdssi:SignatureTime xmlns:mdssi="http://schemas.openxmlformats.org/package/2006/digital-signature">
          <mdssi:Format>YYYY-MM-DDThh:mm:ssTZD</mdssi:Format>
          <mdssi:Value>2025-03-27T12:23:31Z</mdssi:Value>
        </mdssi:SignatureTime>
      </SignatureProperty>
    </SignatureProperties>
  </Object>
  <Object Id="idOfficeObject">
    <SignatureProperties>
      <SignatureProperty Id="idOfficeV1Details" Target="#idPackageSignature">
        <SignatureInfoV1 xmlns="http://schemas.microsoft.com/office/2006/digsig">
          <SetupID>{810473D5-E1D5-4B12-AC59-029910C41C33}</SetupID>
          <SignatureText>Ysaias López Gómez</SignatureText>
          <SignatureImage/>
          <SignatureComments/>
          <WindowsVersion>10.0</WindowsVersion>
          <OfficeVersion>16.0</OfficeVersion>
          <ApplicationVersion>16.0</ApplicationVersion>
          <Monitors>1</Monitors>
          <HorizontalResolution>1600</HorizontalResolution>
          <VerticalResolution>900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2025-03-27T12:23:31Z</xd:SigningTime>
          <xd:SigningCertificate>
            <xd:Cert>
              <xd:CertDigest>
                <DigestMethod Algorithm="http://www.w3.org/2001/04/xmlenc#sha256"/>
                <DigestValue>WbERyBN9QsOF84XoxAg94nCIBEC/w+I5nt3dfGeq+GY=</DigestValue>
              </xd:CertDigest>
              <xd:IssuerSerial>
                <X509IssuerName>SERIALNUMBER=RUC80080610-7, CN=CODE100 S.A., OU=Prestador Cualificado de Servicios de Confianza, O=ICPP, C=PY</X509IssuerName>
                <X509SerialNumber>188338150081208072389311742758369066838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AAGwAAVg0AACBFTUYAAAEApBsAAKoAAAAGAAAAAAAAAAAAAAAAAAAAQAYAAIQDAACwAQAA8AAAAAAAAAAAAAAAAAAAAICXBgCAqQM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P9/AABzotkt/38AABMAFAAAAAAAsP0ILv9/AAAwFiRr/38AAJii2S3/fwAAAAAAAAAAAAAwFiRr/38AAAm3tI3bAAAAAAAAAAAAAADB53npLsgAAKNpUy3/fwAASAAAAMcCAAA06Qgu/38AAIDxES7/fwAAYOsILgAAAAABAAAAAAAAALD9CC7/fwAAAAAka/9/AAAAAAAAAAAAAAAAAADbAAAAwR+0av9/AAAAAAAAAAAAAAAAAAAAAAAAMJTZPMcCAABoubSN2wAAADCU2TzHAgAAS1S4av9/AAAwuLSN2wAAAOC4tI3bAAAAAAAAAAAAAAAAAAAAZHYACAAAAAAlAAAADAAAAAEAAAAYAAAADAAAAAAAAAISAAAADAAAAAEAAAAeAAAAGAAAAMMAAAAEAAAA9wAAABEAAAAlAAAADAAAAAEAAABUAAAAhAAAAMQAAAAEAAAA9QAAABAAAAABAAAAAADYQVVV1UHEAAAABAAAAAkAAABMAAAAAAAAAAAAAAAAAAAA//////////9gAAAAMgA3AC8AMw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CwPyRr/38AAAkAAAABAAAA0O7dav9/AAAAAAAAAAAAAHOi2S3/fwAA4C5oMMcCAADIMwAA/38AAAAAAAAAAAAAAAAAAAAAAABhzHnpLsgAAAAAvEDHAgAACH68QMcCAAAAAAAAAAAAADCU2TzHAgAA8KG0jQAAAAAQSOA8xwIAAAcAAAAAAAAAQCTUPMcCAAAsobSN2wAAAIChtI3bAAAAwR+0av9/AADQicZAxwIAAEQAAAAAAAAAAgABAMcCAAAAAAAAAAAAADCU2TzHAgAAS1S4av9/AADQoLSN2wAAAIChtI3b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BwULlGxwIAAGTrRi3/fwAAYI3ZPMcCAADQ7t1q/38AAAAAAAAAAAAAAbF+Lf9/AAACAAAAAAAAAAIAAAAAAAAAAAAAAAAAAAAAAAAAAAAAAOHnfukuyAAAMPjRPMcCAADQBzNCxwIAAAAAAAAAAAAAMJTZPMcCAACIubONAAAAAOD///8AAAAABgAAAAAAAAAHAAAAAAAAAKy4s43bAAAAALmzjdsAAADBH7Rq/38AAAAAAAAAAAAAoOegagAAAAAAAAAAAAAAAAulTi3/fwAAMJTZPMcCAABLVLhq/38AAFC4s43bAAAAALmzjdsAAAAAAAAAAAAAAAAAAABkdgAIAAAAACUAAAAMAAAAAwAAABgAAAAMAAAAAAAAAhIAAAAMAAAAAQAAABYAAAAMAAAACAAAAFQAAABUAAAACgAAACcAAAAeAAAASgAAAAEAAAAAANhBVVXV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cAAABHAAAAKQAAADMAAACPAAAAFQAAACEA8AAAAAAAAAAAAAAAgD8AAAAAAAAAAAAAgD8AAAAAAAAAAAAAAAAAAAAAAAAAAAAAAAAAAAAAAAAAACUAAAAMAAAAAAAAgCgAAAAMAAAABAAAAFIAAABwAQAABAAAAPD///8AAAAAAAAAAAAAAACQAQAAAAAAAQAAAABzAGUAZwBvAGUAIAB1AGkAAAAAAAAAAAAAAAAAAAAAAAAAAAAAAAAAAAAAAAAAAAAAAAAAAAAAAAAAAAAAAAAAAAAAACAAAAAAAAAACAAAAAAAAAAAAGcwxwIAANDu3Wr/fwAAAAAAAAAAAADHsyNt/38AAAAAhDDHAgAAAAAAAP9/AAAAAAAAAAAAAAAAAAAAAAAAQed+6S7IAAABAAAAAAAAALAqZj8CAAAAAAAAAAAAAAAwlNk8xwIAAOi4s40AAAAA8P///wAAAAAJAAAAAAAAAAcAAAAAAAAADLizjdsAAABguLON2wAAAMEftGr/fwAAAAAAAAAAAACg56BqAAAAAAAAAAAAAAAA4LezjdsAAAAwlNk8xwIAAEtUuGr/fwAAsLezjdsAAABguLON2wAAABDgYkLHAgAAAAAAAGR2AAgAAAAAJQAAAAwAAAAEAAAAGAAAAAwAAAAAAAACEgAAAAwAAAABAAAAHgAAABgAAAApAAAAMwAAALgAAABIAAAAJQAAAAwAAAAEAAAAVAAAALgAAAAqAAAAMwAAALYAAABHAAAAAQAAAAAA2EFVVdVBKgAAADMAAAASAAAATAAAAAAAAAAAAAAAAAAAAP//////////cAAAAFkAcwBhAGkAYQBzACAATADzAHAAZQB6ACAARwDzAG0AZQB6AAkAAAAHAAAACAAAAAQAAAAIAAAABwAAAAQAAAAIAAAACQAAAAkAAAAIAAAABwAAAAQAAAALAAAACQAAAA4AAAAIAAAABw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CUAAAACgAAAFAAAABIAAAAXAAAAAEAAAAAANhBVVXVQQoAAABQAAAADAAAAEwAAAAAAAAAAAAAAAAAAAD//////////2QAAABZAHMAYQBpAGEAcwAgAEwAbwBwAGUAegAFAAAABQAAAAYAAAADAAAABgAAAAUAAAADAAAABQAAAAcAAAAHAAAABgAAAAU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hIAAAAMAAAAAQAAAB4AAAAYAAAACQAAAGAAAAD3AAAAbQAAACUAAAAMAAAAAQAAAFQAAADAAAAACgAAAGAAAABvAAAAbAAAAAEAAAAAANhBVVXVQQoAAABgAAAAEwAAAEwAAAAAAAAAAAAAAAAAAAD//////////3QAAABHAGUAcwB0AGkA8wBuACAARQBtAHAAcgBlAHMAYQByAGkAYQBsAAAACAAAAAYAAAAFAAAABAAAAAMAAAAHAAAABwAAAAMAAAAGAAAACQAAAAcAAAAEAAAABgAAAAUAAAAGAAAABAAAAAMAAAAGAAAAAwAAAEsAAABAAAAAMAAAAAUAAAAgAAAAAQAAAAEAAAAQAAAAAAAAAAAAAAAAAQAAgAAAAAAAAAAAAAAAAAEAAIAAAAAlAAAADAAAAAIAAAAnAAAAGAAAAAUAAAAAAAAA////AAAAAAAlAAAADAAAAAUAAABMAAAAZAAAAAkAAABwAAAAvgAAAHwAAAAJAAAAcAAAALYAAAANAAAAIQDwAAAAAAAAAAAAAACAPwAAAAAAAAAAAACAPwAAAAAAAAAAAAAAAAAAAAAAAAAAAAAAAAAAAAAAAAAAJQAAAAwAAAAAAACAKAAAAAwAAAAFAAAAJQAAAAwAAAABAAAAGAAAAAwAAAAAAAACEgAAAAwAAAABAAAAFgAAAAwAAAAAAAAAVAAAAAgBAAAKAAAAcAAAAL0AAAB8AAAAAQAAAAAA2EFVVdVBCgAAAHAAAAAfAAAATAAAAAQAAAAJAAAAcAAAAL8AAAB9AAAAjAAAAEYAaQByAG0AYQBkAG8AIABwAG8AcgA6ACAAWQBTAEEASQBBAFMAIABMAE8AUABFAFoAIABHAE8ATQBFAFoAAAAGAAAAAwAAAAQAAAAJAAAABgAAAAcAAAAHAAAAAwAAAAcAAAAHAAAABAAAAAMAAAADAAAABQAAAAYAAAAHAAAAAwAAAAcAAAAGAAAAAwAAAAUAAAAJAAAABgAAAAYAAAAGAAAAAwAAAAgAAAAJAAAACgAAAAYAAAAGAAAAFgAAAAwAAAAAAAAAJQAAAAwAAAACAAAADgAAABQAAAAAAAAAEAAAABQAAAA=</Object>
  <Object Id="idInvalidSigLnImg">AQAAAGwAAAAAAAAAAAAAAP8AAAB/AAAAAAAAAAAAAAAAGwAAVg0AACBFTUYAAAEARB8AALAAAAAGAAAAAAAAAAAAAAAAAAAAQAYAAIQDAACwAQAA8AAAAAAAAAAAAAAAAAAAAICXBgCAqQM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HMVPSGy5uFiE4GypVJ0KnHjN9AAABAAAAAACcz+7S6ffb7fnC0t1haH0hMm8aLXIuT8ggOIwoRKslP58cK08AAAEAAAAAAMHg9P///////////+bm5k9SXjw/SzBRzTFU0y1NwSAyVzFGXwEBAgAA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D/fwAAc6LZLf9/AAATABQAAAAAALD9CC7/fwAAMBYka/9/AACYotkt/38AAAAAAAAAAAAAMBYka/9/AAAJt7SN2wAAAAAAAAAAAAAAwed56S7IAACjaVMt/38AAEgAAADHAgAANOkILv9/AACA8REu/38AAGDrCC4AAAAAAQAAAAAAAACw/Qgu/38AAAAAJGv/fwAAAAAAAAAAAAAAAAAA2wAAAMEftGr/fwAAAAAAAAAAAAAAAAAAAAAAADCU2TzHAgAAaLm0jdsAAAAwlNk8xwIAAEtUuGr/fwAAMLi0jdsAAADguLSN2wAAAAAAAAAAAAAAAAAAAGR2AAgAAAAAJQAAAAwAAAABAAAAGAAAAAwAAAD/AAACEgAAAAwAAAABAAAAHgAAABgAAAAiAAAABAAAAHIAAAARAAAAJQAAAAwAAAABAAAAVAAAAKgAAAAjAAAABAAAAHAAAAAQAAAAAQAAAAAA2EFVVdVBIwAAAAQAAAAPAAAATAAAAAAAAAAAAAAAAAAAAP//////////bAAAAEYAaQByAG0AYQAgAG4AbwAgAHYA4QBsAGkAZABhAI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sD8ka/9/AAAJAAAAAQAAANDu3Wr/fwAAAAAAAAAAAABzotkt/38AAOAuaDDHAgAAyDMAAP9/AAAAAAAAAAAAAAAAAAAAAAAAYcx56S7IAAAAALxAxwIAAAh+vEDHAgAAAAAAAAAAAAAwlNk8xwIAAPChtI0AAAAAEEjgPMcCAAAHAAAAAAAAAEAk1DzHAgAALKG0jdsAAACAobSN2wAAAMEftGr/fwAA0InGQMcCAABEAAAAAAAAAAIAAQDHAgAAAAAAAAAAAAAwlNk8xwIAAEtUuGr/fwAA0KC0jdsAAACAobSN2w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cFC5RscCAABk60Yt/38AAGCN2TzHAgAA0O7dav9/AAAAAAAAAAAAAAGxfi3/fwAAAgAAAAAAAAACAAAAAAAAAAAAAAAAAAAAAAAAAAAAAADh537pLsgAADD40TzHAgAA0AczQscCAAAAAAAAAAAAADCU2TzHAgAAiLmzjQAAAADg////AAAAAAYAAAAAAAAABwAAAAAAAACsuLON2wAAAAC5s43bAAAAwR+0av9/AAAAAAAAAAAAAKDnoGoAAAAAAAAAAAAAAAALpU4t/38AADCU2TzHAgAAS1S4av9/AABQuLON2wAAAAC5s43bAAAAAAAAAAAAAAAAAAAAZHYACAAAAAAlAAAADAAAAAMAAAAYAAAADAAAAAAAAAISAAAADAAAAAEAAAAWAAAADAAAAAgAAABUAAAAVAAAAAoAAAAnAAAAHgAAAEoAAAABAAAAAADYQVVV1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3AAAARwAAACkAAAAzAAAAjwAAABUAAAAhAPAAAAAAAAAAAAAAAIA/AAAAAAAAAAAAAIA/AAAAAAAAAAAAAAAAAAAAAAAAAAAAAAAAAAAAAAAAAAAlAAAADAAAAAAAAIAoAAAADAAAAAQAAABSAAAAcAEAAAQAAADw////AAAAAAAAAAAAAAAAkAEAAAAAAAEAAAAAcwBlAGcAbwBlACAAdQBpAAAAAAAAAAAAAAAAAAAAAAAAAAAAAAAAAAAAAAAAAAAAAAAAAAAAAAAAAAAAAAAAAAAAAAAgAAAAAAAAAAgAAAAAAAAAAABnMMcCAADQ7t1q/38AAAAAAAAAAAAAx7Mjbf9/AAAAAIQwxwIAAAAAAAD/fwAAAAAAAAAAAAAAAAAAAAAAAEHnfukuyAAAAQAAAAAAAACwKmY/AgAAAAAAAAAAAAAAMJTZPMcCAADouLONAAAAAPD///8AAAAACQAAAAAAAAAHAAAAAAAAAAy4s43bAAAAYLizjdsAAADBH7Rq/38AAAAAAAAAAAAAoOegagAAAAAAAAAAAAAAAOC3s43bAAAAMJTZPMcCAABLVLhq/38AALC3s43bAAAAYLizjdsAAAAQ4GJCxwIAAAAAAABkdgAIAAAAACUAAAAMAAAABAAAABgAAAAMAAAAAAAAAhIAAAAMAAAAAQAAAB4AAAAYAAAAKQAAADMAAAC4AAAASAAAACUAAAAMAAAABAAAAFQAAAC4AAAAKgAAADMAAAC2AAAARwAAAAEAAAAAANhBVVXVQSoAAAAzAAAAEgAAAEwAAAAAAAAAAAAAAAAAAAD//////////3AAAABZAHMAYQBpAGEAcwAgAEwA8wBwAGUAegAgAEcA8wBtAGUAegAJAAAABwAAAAgAAAAEAAAACAAAAAcAAAAEAAAACAAAAAkAAAAJAAAACAAAAAcAAAAEAAAACwAAAAkAAAAOAAAACAAAAAc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ISAAAADAAAAAEAAAAeAAAAGAAAAAkAAABQAAAA9wAAAF0AAAAlAAAADAAAAAEAAABUAAAAlAAAAAoAAABQAAAASAAAAFwAAAABAAAAAADYQVVV1UEKAAAAUAAAAAwAAABMAAAAAAAAAAAAAAAAAAAA//////////9kAAAAWQBzAGEAaQBhAHMAIABMAG8AcABlAHoABQAAAAUAAAAGAAAAAwAAAAYAAAAFAAAAAwAAAAUAAAAHAAAABwAAAAYAAAAF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ISAAAADAAAAAEAAAAeAAAAGAAAAAkAAABgAAAA9wAAAG0AAAAlAAAADAAAAAEAAABUAAAAwAAAAAoAAABgAAAAbwAAAGwAAAABAAAAAADYQVVV1UEKAAAAYAAAABMAAABMAAAAAAAAAAAAAAAAAAAA//////////90AAAARwBlAHMAdABpAPMAbgAgAEUAbQBwAHIAZQBzAGEAcgBpAGEAbAAAAAgAAAAGAAAABQAAAAQAAAADAAAABwAAAAcAAAADAAAABgAAAAkAAAAHAAAABAAAAAYAAAAFAAAABgAAAAQAAAADAAAABgAAAAMAAABLAAAAQAAAADAAAAAFAAAAIAAAAAEAAAABAAAAEAAAAAAAAAAAAAAAAAEAAIAAAAAAAAAAAAAAAAABAACAAAAAJQAAAAwAAAACAAAAJwAAABgAAAAFAAAAAAAAAP///wAAAAAAJQAAAAwAAAAFAAAATAAAAGQAAAAJAAAAcAAAAL4AAAB8AAAACQAAAHAAAAC2AAAADQAAACEA8AAAAAAAAAAAAAAAgD8AAAAAAAAAAAAAgD8AAAAAAAAAAAAAAAAAAAAAAAAAAAAAAAAAAAAAAAAAACUAAAAMAAAAAAAAgCgAAAAMAAAABQAAACUAAAAMAAAAAQAAABgAAAAMAAAAAAAAAhIAAAAMAAAAAQAAABYAAAAMAAAAAAAAAFQAAAAIAQAACgAAAHAAAAC9AAAAfAAAAAEAAAAAANhBVVXVQQoAAABwAAAAHwAAAEwAAAAEAAAACQAAAHAAAAC/AAAAfQAAAIwAAABGAGkAcgBtAGEAZABvACAAcABvAHIAOgAgAFkAUwBBAEkAQQBTACAATABPAFAARQBaACAARwBPAE0ARQBaAAAABgAAAAMAAAAEAAAACQAAAAYAAAAHAAAABwAAAAMAAAAHAAAABwAAAAQAAAADAAAAAwAAAAUAAAAGAAAABwAAAAMAAAAHAAAABgAAAAMAAAAFAAAACQAAAAYAAAAGAAAABgAAAAMAAAAIAAAACQAAAAoAAAAGAAAABgAAABYAAAAMAAAAAAAAACUAAAAMAAAAAgAAAA4AAAAUAAAAAAAAABAAAAAUAAAA</Object>
</Signature>
</file>

<file path=_xmlsignatures/sig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G98b5c+S2tOJdYg4K0deGj60ReDyRg+U+3ZZmhFEZJk=</DigestValue>
    </Reference>
    <Reference Type="http://www.w3.org/2000/09/xmldsig#Object" URI="#idOfficeObject">
      <DigestMethod Algorithm="http://www.w3.org/2001/04/xmlenc#sha256"/>
      <DigestValue>b5K3C4ckciRxJeAssNvHduTb7N1209e8zNm8ApEoH2Y=</DigestValue>
    </Reference>
    <Reference Type="http://uri.etsi.org/01903#SignedProperties" URI="#idSignedProperties">
      <Transforms>
        <Transform Algorithm="http://www.w3.org/TR/2001/REC-xml-c14n-20010315"/>
      </Transforms>
      <DigestMethod Algorithm="http://www.w3.org/2001/04/xmlenc#sha256"/>
      <DigestValue>th58mp4Ia/gzNoJwYZOhdU/2ItPqhewpLOpbAk01pew=</DigestValue>
    </Reference>
    <Reference Type="http://www.w3.org/2000/09/xmldsig#Object" URI="#idValidSigLnImg">
      <DigestMethod Algorithm="http://www.w3.org/2001/04/xmlenc#sha256"/>
      <DigestValue>pc3PBdd6b77gKbJSpaSi+DUNI8ri6qiHo19srM3WbGQ=</DigestValue>
    </Reference>
    <Reference Type="http://www.w3.org/2000/09/xmldsig#Object" URI="#idInvalidSigLnImg">
      <DigestMethod Algorithm="http://www.w3.org/2001/04/xmlenc#sha256"/>
      <DigestValue>ma1akkBcTo4Fl+peN0nhzbC5yxzrn/gccLm7XOR2akQ=</DigestValue>
    </Reference>
  </SignedInfo>
  <SignatureValue>lUuUs3/UHVryQ6CL1besK0X6tusfGmpHa8NkLh6Knpcn3G8IrONDjxakIj8yqGkXv8KnErU8//+i
SfAMzOX26idSR+qWBih2DKOkfcKkqZf90cNedJnvbxlrSULu2gT2qf1cSKHbWz1T5wlkfJVCaRe9
+XAZZ3DKVngNaK7TXed4UU+VNwZ/YvR1n/HwSZK/erT0zfkdvqGsrqyBejNB7Q9hRQN8mfT0cpDN
24MjfWKj5utEJmSyVqSEh4AY4AZLoJGW9g/x61V0Xcluta7eUwllffJ+rn0vfWDm4BCT4iI6b4Dt
SFyi7XIGn/p/0oJ9c1P2nF7BigNEZSqw9rfoFA==</SignatureValue>
  <KeyInfo>
    <X509Data>
      <X509Certificate>MIIIhzCCBm+gAwIBAgIIAPpG+c560gMwDQYJKoZIhvcNAQELBQAwWjEaMBgGA1UEAwwRQ0EtRE9DVU1FTlRBIFMuQS4xFjAUBgNVBAUTDVJVQzgwMDUwMTcyLTExFzAVBgNVBAoMDkRPQ1VNRU5UQSBTLkEuMQswCQYDVQQGEwJQWTAeFw0yNDA1MTMxNzUwMDBaFw0yNjA1MTMxNzUwMDBaMIG7MSQwIgYDVQQDDBtNQVJJQSBURVJFU0EgSU5TRlJBTiBBR1VFUk8xEjAQBgNVBAUTCUNJMjI1NTI0MDEVMBMGA1UEKgwMTUFSSUEgVEVSRVNBMRcwFQYDVQQEDA5JTlNGUkFOIEFHVUVSTzELMAkGA1UECwwCRjIxNTAzBgNVBAoMLENFUlRJRklDQURPIENVQUxJRklDQURPIERFIEZJUk1BIEVMRUNUUk9OSUNBMQswCQYDVQQGEwJQWTCCASIwDQYJKoZIhvcNAQEBBQADggEPADCCAQoCggEBAMUP0wKyweOIjYwcUkYZowctQvtl7DzVqpZkDR7eUjhKDjluscP3PUyaQU9uOARB5ym7YB0AA6u1JGcCQ8Pmg0ofyDcl6AI7RoARIVH0hJFkZpOyAo/2SBFnNahIgfyYqVuHSTLusIdK1uhuVL91gqU/yysK1xaTUDrVP6mkm3oIpkpJfvH0ivwm2GVR22RpKVteAdXtY3JGzWaUBbNLny7AIYQyW7QLwMkilyjio3s5/9V4XDCmU0YK1i9QNll9/VlsKVcoKdnLuY4hJe7A2cI16ytwPKYhG6gWYzL8jSRyk+nb1KeK2y/YNlWzbFSBxYUgtsXMIGKEiUqsj87H0FsCAwEAAaOCA+0wggPpMAwGA1UdEwEB/wQCMAAwHwYDVR0jBBgwFoAUoT2FK83YLJYfOQIMn1M7WNiVC3swgZQGCCsGAQUFBwEBBIGHMIGEMFUGCCsGAQUFBzAChklodHRwczovL3d3dy5kaWdpdG8uY29tLnB5L3VwbG9hZHMvY2VydGlmaWNhZG8tZG9jdW1lbnRhLXNhLTE1MzUxMTc3NzEuY3J0MCsGCCsGAQUFBzABhh9odHRwczovL3d3dy5kaWdpdG8uY29tLnB5L29jc3AvMFAGA1UdEQRJMEeBGW1pbnNmcmFuQHNhbGx1c3Ryb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Sq7OTssbID5OvZ8RQgwLMY/RiZ5TAOBgNVHQ8BAf8EBAMCBeAwDQYJKoZIhvcNAQELBQADggIBAIwkCJBMsDGtW8/ztnJQbaOAGNq16mrjzV1RHQruwTecDBS1A/jaN1VFN9h5/t6MeQRp5R3GvR5G6lw8fJQIl9UeQxe8BJc1o6cwrR/a9ZdSNmc3jqw5sKmthuhLafV0v2NR06PAqHwSnv/iy1pRdDxkpuVAlxXXfZxt0c0tJCTIz+t/w033lBgIhbDWKLPYVRGY2eHIJ+UDx+q0fkRkOTqJg79HK8a3iVt2/WSMjA0slvWW47KML4Mcrih6bfKyKo7GpkME6rbojUAZDi3q2mMWIUB6p3WUdEwrRse0DP9/67FpUT4Jy4nVMywVeLqZOqMZGWpFIqfe2zOsLuZ68/ntn4FT3CR0eLduaZK8ZL9lbby8bUYNnTl6gtczm+BTAHJHi6tt+61atGRREuSyRDZDVyJD0oqFBZLhuh8i6z2DEMote7MKfpkWJMQt6ZEqUj1YcqIaC5Qt2DX8rRTIMULftEq+wtPiGFmoz6udrqKIxaftU0k5CZz1udQnlCZinL8kR+iQI5Y7K+LMWIyESqYbIwhhQwtGyTyCTCbe+3GXD3cL0vpems0m3Sh9t1+IEGlJ8JVBul0AW6RFYtH0vSJmC3+1iusx24x9SzwCi9UvSECaO6jDavRlW9jaBVJxwcmjbrejLcHl/a/zOCTDwnwKHpAZjgOjQoTMGe9ZBRwF</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X0zay39lAcy+joH66+NIv7xgenr+10RaM/eMl+BRvHQ=</DigestValue>
      </Reference>
      <Reference URI="/xl/calcChain.xml?ContentType=application/vnd.openxmlformats-officedocument.spreadsheetml.calcChain+xml">
        <DigestMethod Algorithm="http://www.w3.org/2001/04/xmlenc#sha256"/>
        <DigestValue>fbCCk27TLgesV8Jumswwms/ScvHFBkXBn/G77sxlFFA=</DigestValue>
      </Reference>
      <Reference URI="/xl/comments1.xml?ContentType=application/vnd.openxmlformats-officedocument.spreadsheetml.comments+xml">
        <DigestMethod Algorithm="http://www.w3.org/2001/04/xmlenc#sha256"/>
        <DigestValue>qnLCTzD69tBaj2Lsg6Jm3UbqVYuybhe9x6YPjSqAndM=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VB1yhbw7Gmyj1OTWV/qPomHE5sCDThzc5tVRBFnHCxE=</DigestValue>
      </Reference>
      <Reference URI="/xl/drawings/drawing10.xml?ContentType=application/vnd.openxmlformats-officedocument.drawing+xml">
        <DigestMethod Algorithm="http://www.w3.org/2001/04/xmlenc#sha256"/>
        <DigestValue>M4oiLfApTm1N39o9afLSU//tktDlGcZRNaMQ/vN4EGc=</DigestValue>
      </Reference>
      <Reference URI="/xl/drawings/drawing11.xml?ContentType=application/vnd.openxmlformats-officedocument.drawing+xml">
        <DigestMethod Algorithm="http://www.w3.org/2001/04/xmlenc#sha256"/>
        <DigestValue>prfPEyJG3DtmgObLtakRyZJuZNJJLeFlG/6ahj0ufPc=</DigestValue>
      </Reference>
      <Reference URI="/xl/drawings/drawing12.xml?ContentType=application/vnd.openxmlformats-officedocument.drawing+xml">
        <DigestMethod Algorithm="http://www.w3.org/2001/04/xmlenc#sha256"/>
        <DigestValue>ElgOjqForbR9Jj7Zt7qGVL3cWmvs3VwTTyNJTTulAS4=</DigestValue>
      </Reference>
      <Reference URI="/xl/drawings/drawing13.xml?ContentType=application/vnd.openxmlformats-officedocument.drawing+xml">
        <DigestMethod Algorithm="http://www.w3.org/2001/04/xmlenc#sha256"/>
        <DigestValue>VtWEA9TwWheIRgVchVvI6CM7SMKzhtSy2k7QgLYvoTk=</DigestValue>
      </Reference>
      <Reference URI="/xl/drawings/drawing14.xml?ContentType=application/vnd.openxmlformats-officedocument.drawing+xml">
        <DigestMethod Algorithm="http://www.w3.org/2001/04/xmlenc#sha256"/>
        <DigestValue>o4vWr+q2RW9iQTFwwUiTJ0ubucBXzo26t4yUVCKXwXM=</DigestValue>
      </Reference>
      <Reference URI="/xl/drawings/drawing15.xml?ContentType=application/vnd.openxmlformats-officedocument.drawing+xml">
        <DigestMethod Algorithm="http://www.w3.org/2001/04/xmlenc#sha256"/>
        <DigestValue>056Dhz2Aew7MpdfRQvHak4DXlXgi5aFByk7qUF4wJYA=</DigestValue>
      </Reference>
      <Reference URI="/xl/drawings/drawing16.xml?ContentType=application/vnd.openxmlformats-officedocument.drawing+xml">
        <DigestMethod Algorithm="http://www.w3.org/2001/04/xmlenc#sha256"/>
        <DigestValue>zMHuH22+oCni68SSFUYxYmhKueZXWEMG9do+MC0Eo1g=</DigestValue>
      </Reference>
      <Reference URI="/xl/drawings/drawing17.xml?ContentType=application/vnd.openxmlformats-officedocument.drawing+xml">
        <DigestMethod Algorithm="http://www.w3.org/2001/04/xmlenc#sha256"/>
        <DigestValue>9nqJZgfEyar5HjT2Y7nLsiKYudRvQuq6MgfR24amcuk=</DigestValue>
      </Reference>
      <Reference URI="/xl/drawings/drawing18.xml?ContentType=application/vnd.openxmlformats-officedocument.drawing+xml">
        <DigestMethod Algorithm="http://www.w3.org/2001/04/xmlenc#sha256"/>
        <DigestValue>Q2D78Vy8lMSm22nVXp0zSxhBv0lKK2CUlReZQWhzTqM=</DigestValue>
      </Reference>
      <Reference URI="/xl/drawings/drawing2.xml?ContentType=application/vnd.openxmlformats-officedocument.drawing+xml">
        <DigestMethod Algorithm="http://www.w3.org/2001/04/xmlenc#sha256"/>
        <DigestValue>ZkWAY+GEMZkQJlkThNu9CweLsQpYXIdo6nKP0k+dgfw=</DigestValue>
      </Reference>
      <Reference URI="/xl/drawings/drawing3.xml?ContentType=application/vnd.openxmlformats-officedocument.drawing+xml">
        <DigestMethod Algorithm="http://www.w3.org/2001/04/xmlenc#sha256"/>
        <DigestValue>lo5MvWBofZh/a6jv4sAOMgYTu0NdSALZKz25w3P2fkA=</DigestValue>
      </Reference>
      <Reference URI="/xl/drawings/drawing4.xml?ContentType=application/vnd.openxmlformats-officedocument.drawing+xml">
        <DigestMethod Algorithm="http://www.w3.org/2001/04/xmlenc#sha256"/>
        <DigestValue>U8IihizxGs5Wi6xVpShZRXzN2wQW5UlvtawGGRJr2Mw=</DigestValue>
      </Reference>
      <Reference URI="/xl/drawings/drawing5.xml?ContentType=application/vnd.openxmlformats-officedocument.drawing+xml">
        <DigestMethod Algorithm="http://www.w3.org/2001/04/xmlenc#sha256"/>
        <DigestValue>b3O2jx+fjvCMHMwUtwzFIT18QT5gCrFER0iF62SEaRM=</DigestValue>
      </Reference>
      <Reference URI="/xl/drawings/drawing6.xml?ContentType=application/vnd.openxmlformats-officedocument.drawing+xml">
        <DigestMethod Algorithm="http://www.w3.org/2001/04/xmlenc#sha256"/>
        <DigestValue>kBHwS31qQkQKv4z/0liQa0YoIfr1OJbuoxnr4u+SQDc=</DigestValue>
      </Reference>
      <Reference URI="/xl/drawings/drawing7.xml?ContentType=application/vnd.openxmlformats-officedocument.drawing+xml">
        <DigestMethod Algorithm="http://www.w3.org/2001/04/xmlenc#sha256"/>
        <DigestValue>NRydziRWBJXYM+eP3/wYTG0RDyHW1uHj5g1aNMFMP/4=</DigestValue>
      </Reference>
      <Reference URI="/xl/drawings/drawing8.xml?ContentType=application/vnd.openxmlformats-officedocument.drawing+xml">
        <DigestMethod Algorithm="http://www.w3.org/2001/04/xmlenc#sha256"/>
        <DigestValue>rmt1Fqnn7+mfWClI9pVSbi7fyb1z6bNHWQ6w4hUSaRI=</DigestValue>
      </Reference>
      <Reference URI="/xl/drawings/drawing9.xml?ContentType=application/vnd.openxmlformats-officedocument.drawing+xml">
        <DigestMethod Algorithm="http://www.w3.org/2001/04/xmlenc#sha256"/>
        <DigestValue>5zIsuhnzxAAQTb3ay+MBMmh3WQ6SRjJpYK0mvA3naBo=</DigestValue>
      </Reference>
      <Reference URI="/xl/drawings/vmlDrawing1.vml?ContentType=application/vnd.openxmlformats-officedocument.vmlDrawing">
        <DigestMethod Algorithm="http://www.w3.org/2001/04/xmlenc#sha256"/>
        <DigestValue>1Cv4jLy4lSkORB0ljCO0LlC2jTyEYkjoHJbzNB7k2FU=</DigestValue>
      </Reference>
      <Reference URI="/xl/drawings/vmlDrawing2.vml?ContentType=application/vnd.openxmlformats-officedocument.vmlDrawing">
        <DigestMethod Algorithm="http://www.w3.org/2001/04/xmlenc#sha256"/>
        <DigestValue>kZ2At4ohWjbRf1rwdOAhOXoDLmn46JzALr7IZgjWgtQ=</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h9fJY+lBcUFThe4N+TRU6csYQxyixPEAdH89DalYVpk=</DigestValue>
      </Reference>
      <Reference URI="/xl/externalLinks/externalLink1.xml?ContentType=application/vnd.openxmlformats-officedocument.spreadsheetml.externalLink+xml">
        <DigestMethod Algorithm="http://www.w3.org/2001/04/xmlenc#sha256"/>
        <DigestValue>XNhm+qnDqnrk+TkzUVbZvcgQZgfRgS3WiG1HUvsIoYw=</DigestValue>
      </Reference>
      <Reference URI="/xl/media/image1.png?ContentType=image/png">
        <DigestMethod Algorithm="http://www.w3.org/2001/04/xmlenc#sha256"/>
        <DigestValue>K2NW93tqc6EY2IgJTscfZeNC2EdRt9B2kLaU83bJs38=</DigestValue>
      </Reference>
      <Reference URI="/xl/media/image2.emf?ContentType=image/x-emf">
        <DigestMethod Algorithm="http://www.w3.org/2001/04/xmlenc#sha256"/>
        <DigestValue>/v+grmhFBfBgTfoIMzcBl8wLcdRqv+hiYpfqxSdilfU=</DigestValue>
      </Reference>
      <Reference URI="/xl/media/image3.emf?ContentType=image/x-emf">
        <DigestMethod Algorithm="http://www.w3.org/2001/04/xmlenc#sha256"/>
        <DigestValue>yOWUxYJKNMcN7T+amw2f7y9Spnf600L9CCUGUvP+L64=</DigestValue>
      </Reference>
      <Reference URI="/xl/media/image4.emf?ContentType=image/x-emf">
        <DigestMethod Algorithm="http://www.w3.org/2001/04/xmlenc#sha256"/>
        <DigestValue>PmawVfOdCR9JMs4vXg4Qh204dXSfD6x7RaDJaBef41M=</DigestValue>
      </Reference>
      <Reference URI="/xl/media/image5.emf?ContentType=image/x-emf">
        <DigestMethod Algorithm="http://www.w3.org/2001/04/xmlenc#sha256"/>
        <DigestValue>VYTNltr8I9MMEGNv/BDlf4Kk7yMiUNtVWiU8HKGHXWY=</DigestValue>
      </Reference>
      <Reference URI="/xl/media/image6.emf?ContentType=image/x-emf">
        <DigestMethod Algorithm="http://www.w3.org/2001/04/xmlenc#sha256"/>
        <DigestValue>5xjYICeEbpj4VPj/MJE2dSURUuioSFM7/uxzYiBM5Cw=</DigestValue>
      </Reference>
      <Reference URI="/xl/media/image7.png?ContentType=image/png">
        <DigestMethod Algorithm="http://www.w3.org/2001/04/xmlenc#sha256"/>
        <DigestValue>nnykxL6sHYwxaEYN4bNnKlAbSJy2p6Du/3yKaO3Lq0U=</DigestValue>
      </Reference>
      <Reference URI="/xl/printerSettings/printerSettings1.bin?ContentType=application/vnd.openxmlformats-officedocument.spreadsheetml.printerSettings">
        <DigestMethod Algorithm="http://www.w3.org/2001/04/xmlenc#sha256"/>
        <DigestValue>nJAHBoN2Wdd9B+xnkmN0ykoUgt2u5nrsxBIkEuDEWMI=</DigestValue>
      </Reference>
      <Reference URI="/xl/printerSettings/printerSettings10.bin?ContentType=application/vnd.openxmlformats-officedocument.spreadsheetml.printerSettings">
        <DigestMethod Algorithm="http://www.w3.org/2001/04/xmlenc#sha256"/>
        <DigestValue>ye0ygCp8mAHhrxXVqmrSxJPdXaRWG+7cYDv9YXcB6gc=</DigestValue>
      </Reference>
      <Reference URI="/xl/printerSettings/printerSettings11.bin?ContentType=application/vnd.openxmlformats-officedocument.spreadsheetml.printerSettings">
        <DigestMethod Algorithm="http://www.w3.org/2001/04/xmlenc#sha256"/>
        <DigestValue>ye0ygCp8mAHhrxXVqmrSxJPdXaRWG+7cYDv9YXcB6gc=</DigestValue>
      </Reference>
      <Reference URI="/xl/printerSettings/printerSettings12.bin?ContentType=application/vnd.openxmlformats-officedocument.spreadsheetml.printerSettings">
        <DigestMethod Algorithm="http://www.w3.org/2001/04/xmlenc#sha256"/>
        <DigestValue>1/ZWSL2z/rx8MILo7VSKeZ2fxt90tdO1+d177mn/62I=</DigestValue>
      </Reference>
      <Reference URI="/xl/printerSettings/printerSettings13.bin?ContentType=application/vnd.openxmlformats-officedocument.spreadsheetml.printerSettings">
        <DigestMethod Algorithm="http://www.w3.org/2001/04/xmlenc#sha256"/>
        <DigestValue>89nBNtWGa+e+nMBZt/vG241JYMcErfk0lLyizJbX5DQ=</DigestValue>
      </Reference>
      <Reference URI="/xl/printerSettings/printerSettings14.bin?ContentType=application/vnd.openxmlformats-officedocument.spreadsheetml.printerSettings">
        <DigestMethod Algorithm="http://www.w3.org/2001/04/xmlenc#sha256"/>
        <DigestValue>89nBNtWGa+e+nMBZt/vG241JYMcErfk0lLyizJbX5DQ=</DigestValue>
      </Reference>
      <Reference URI="/xl/printerSettings/printerSettings15.bin?ContentType=application/vnd.openxmlformats-officedocument.spreadsheetml.printerSettings">
        <DigestMethod Algorithm="http://www.w3.org/2001/04/xmlenc#sha256"/>
        <DigestValue>ye0ygCp8mAHhrxXVqmrSxJPdXaRWG+7cYDv9YXcB6gc=</DigestValue>
      </Reference>
      <Reference URI="/xl/printerSettings/printerSettings16.bin?ContentType=application/vnd.openxmlformats-officedocument.spreadsheetml.printerSettings">
        <DigestMethod Algorithm="http://www.w3.org/2001/04/xmlenc#sha256"/>
        <DigestValue>zHpi8B/AzGRLezKgmRPAVYXkZ0umem7y+NaskYMBbNo=</DigestValue>
      </Reference>
      <Reference URI="/xl/printerSettings/printerSettings17.bin?ContentType=application/vnd.openxmlformats-officedocument.spreadsheetml.printerSettings">
        <DigestMethod Algorithm="http://www.w3.org/2001/04/xmlenc#sha256"/>
        <DigestValue>ye0ygCp8mAHhrxXVqmrSxJPdXaRWG+7cYDv9YXcB6gc=</DigestValue>
      </Reference>
      <Reference URI="/xl/printerSettings/printerSettings18.bin?ContentType=application/vnd.openxmlformats-officedocument.spreadsheetml.printerSettings">
        <DigestMethod Algorithm="http://www.w3.org/2001/04/xmlenc#sha256"/>
        <DigestValue>zHpi8B/AzGRLezKgmRPAVYXkZ0umem7y+NaskYMBbNo=</DigestValue>
      </Reference>
      <Reference URI="/xl/printerSettings/printerSettings19.bin?ContentType=application/vnd.openxmlformats-officedocument.spreadsheetml.printerSettings">
        <DigestMethod Algorithm="http://www.w3.org/2001/04/xmlenc#sha256"/>
        <DigestValue>j2fyYiYEDbsNOQmjBcY1ZN1XHPKd9g1sTClCpHYJTxw=</DigestValue>
      </Reference>
      <Reference URI="/xl/printerSettings/printerSettings2.bin?ContentType=application/vnd.openxmlformats-officedocument.spreadsheetml.printerSettings">
        <DigestMethod Algorithm="http://www.w3.org/2001/04/xmlenc#sha256"/>
        <DigestValue>1/ZWSL2z/rx8MILo7VSKeZ2fxt90tdO1+d177mn/62I=</DigestValue>
      </Reference>
      <Reference URI="/xl/printerSettings/printerSettings20.bin?ContentType=application/vnd.openxmlformats-officedocument.spreadsheetml.printerSettings">
        <DigestMethod Algorithm="http://www.w3.org/2001/04/xmlenc#sha256"/>
        <DigestValue>ye0ygCp8mAHhrxXVqmrSxJPdXaRWG+7cYDv9YXcB6gc=</DigestValue>
      </Reference>
      <Reference URI="/xl/printerSettings/printerSettings21.bin?ContentType=application/vnd.openxmlformats-officedocument.spreadsheetml.printerSettings">
        <DigestMethod Algorithm="http://www.w3.org/2001/04/xmlenc#sha256"/>
        <DigestValue>1/ZWSL2z/rx8MILo7VSKeZ2fxt90tdO1+d177mn/62I=</DigestValue>
      </Reference>
      <Reference URI="/xl/printerSettings/printerSettings22.bin?ContentType=application/vnd.openxmlformats-officedocument.spreadsheetml.printerSettings">
        <DigestMethod Algorithm="http://www.w3.org/2001/04/xmlenc#sha256"/>
        <DigestValue>1/ZWSL2z/rx8MILo7VSKeZ2fxt90tdO1+d177mn/62I=</DigestValue>
      </Reference>
      <Reference URI="/xl/printerSettings/printerSettings23.bin?ContentType=application/vnd.openxmlformats-officedocument.spreadsheetml.printerSettings">
        <DigestMethod Algorithm="http://www.w3.org/2001/04/xmlenc#sha256"/>
        <DigestValue>1/ZWSL2z/rx8MILo7VSKeZ2fxt90tdO1+d177mn/62I=</DigestValue>
      </Reference>
      <Reference URI="/xl/printerSettings/printerSettings24.bin?ContentType=application/vnd.openxmlformats-officedocument.spreadsheetml.printerSettings">
        <DigestMethod Algorithm="http://www.w3.org/2001/04/xmlenc#sha256"/>
        <DigestValue>89nBNtWGa+e+nMBZt/vG241JYMcErfk0lLyizJbX5DQ=</DigestValue>
      </Reference>
      <Reference URI="/xl/printerSettings/printerSettings25.bin?ContentType=application/vnd.openxmlformats-officedocument.spreadsheetml.printerSettings">
        <DigestMethod Algorithm="http://www.w3.org/2001/04/xmlenc#sha256"/>
        <DigestValue>1/ZWSL2z/rx8MILo7VSKeZ2fxt90tdO1+d177mn/62I=</DigestValue>
      </Reference>
      <Reference URI="/xl/printerSettings/printerSettings26.bin?ContentType=application/vnd.openxmlformats-officedocument.spreadsheetml.printerSettings">
        <DigestMethod Algorithm="http://www.w3.org/2001/04/xmlenc#sha256"/>
        <DigestValue>ye0ygCp8mAHhrxXVqmrSxJPdXaRWG+7cYDv9YXcB6gc=</DigestValue>
      </Reference>
      <Reference URI="/xl/printerSettings/printerSettings27.bin?ContentType=application/vnd.openxmlformats-officedocument.spreadsheetml.printerSettings">
        <DigestMethod Algorithm="http://www.w3.org/2001/04/xmlenc#sha256"/>
        <DigestValue>ye0ygCp8mAHhrxXVqmrSxJPdXaRWG+7cYDv9YXcB6gc=</DigestValue>
      </Reference>
      <Reference URI="/xl/printerSettings/printerSettings28.bin?ContentType=application/vnd.openxmlformats-officedocument.spreadsheetml.printerSettings">
        <DigestMethod Algorithm="http://www.w3.org/2001/04/xmlenc#sha256"/>
        <DigestValue>uaG0dKgP9fdq5dc9SKOxsjO6aFrN5Az1VSB0/pJmHOY=</DigestValue>
      </Reference>
      <Reference URI="/xl/printerSettings/printerSettings29.bin?ContentType=application/vnd.openxmlformats-officedocument.spreadsheetml.printerSettings">
        <DigestMethod Algorithm="http://www.w3.org/2001/04/xmlenc#sha256"/>
        <DigestValue>1/ZWSL2z/rx8MILo7VSKeZ2fxt90tdO1+d177mn/62I=</DigestValue>
      </Reference>
      <Reference URI="/xl/printerSettings/printerSettings3.bin?ContentType=application/vnd.openxmlformats-officedocument.spreadsheetml.printerSettings">
        <DigestMethod Algorithm="http://www.w3.org/2001/04/xmlenc#sha256"/>
        <DigestValue>1/ZWSL2z/rx8MILo7VSKeZ2fxt90tdO1+d177mn/62I=</DigestValue>
      </Reference>
      <Reference URI="/xl/printerSettings/printerSettings30.bin?ContentType=application/vnd.openxmlformats-officedocument.spreadsheetml.printerSettings">
        <DigestMethod Algorithm="http://www.w3.org/2001/04/xmlenc#sha256"/>
        <DigestValue>nJAHBoN2Wdd9B+xnkmN0ykoUgt2u5nrsxBIkEuDEWMI=</DigestValue>
      </Reference>
      <Reference URI="/xl/printerSettings/printerSettings31.bin?ContentType=application/vnd.openxmlformats-officedocument.spreadsheetml.printerSettings">
        <DigestMethod Algorithm="http://www.w3.org/2001/04/xmlenc#sha256"/>
        <DigestValue>PKvbYuXDtz2QckuDs7cNpUQNkkCqcuMyB+0oxE8UEtI=</DigestValue>
      </Reference>
      <Reference URI="/xl/printerSettings/printerSettings32.bin?ContentType=application/vnd.openxmlformats-officedocument.spreadsheetml.printerSettings">
        <DigestMethod Algorithm="http://www.w3.org/2001/04/xmlenc#sha256"/>
        <DigestValue>ye0ygCp8mAHhrxXVqmrSxJPdXaRWG+7cYDv9YXcB6gc=</DigestValue>
      </Reference>
      <Reference URI="/xl/printerSettings/printerSettings33.bin?ContentType=application/vnd.openxmlformats-officedocument.spreadsheetml.printerSettings">
        <DigestMethod Algorithm="http://www.w3.org/2001/04/xmlenc#sha256"/>
        <DigestValue>89nBNtWGa+e+nMBZt/vG241JYMcErfk0lLyizJbX5DQ=</DigestValue>
      </Reference>
      <Reference URI="/xl/printerSettings/printerSettings34.bin?ContentType=application/vnd.openxmlformats-officedocument.spreadsheetml.printerSettings">
        <DigestMethod Algorithm="http://www.w3.org/2001/04/xmlenc#sha256"/>
        <DigestValue>1/ZWSL2z/rx8MILo7VSKeZ2fxt90tdO1+d177mn/62I=</DigestValue>
      </Reference>
      <Reference URI="/xl/printerSettings/printerSettings35.bin?ContentType=application/vnd.openxmlformats-officedocument.spreadsheetml.printerSettings">
        <DigestMethod Algorithm="http://www.w3.org/2001/04/xmlenc#sha256"/>
        <DigestValue>1/ZWSL2z/rx8MILo7VSKeZ2fxt90tdO1+d177mn/62I=</DigestValue>
      </Reference>
      <Reference URI="/xl/printerSettings/printerSettings36.bin?ContentType=application/vnd.openxmlformats-officedocument.spreadsheetml.printerSettings">
        <DigestMethod Algorithm="http://www.w3.org/2001/04/xmlenc#sha256"/>
        <DigestValue>PKvbYuXDtz2QckuDs7cNpUQNkkCqcuMyB+0oxE8UEtI=</DigestValue>
      </Reference>
      <Reference URI="/xl/printerSettings/printerSettings37.bin?ContentType=application/vnd.openxmlformats-officedocument.spreadsheetml.printerSettings">
        <DigestMethod Algorithm="http://www.w3.org/2001/04/xmlenc#sha256"/>
        <DigestValue>1/ZWSL2z/rx8MILo7VSKeZ2fxt90tdO1+d177mn/62I=</DigestValue>
      </Reference>
      <Reference URI="/xl/printerSettings/printerSettings38.bin?ContentType=application/vnd.openxmlformats-officedocument.spreadsheetml.printerSettings">
        <DigestMethod Algorithm="http://www.w3.org/2001/04/xmlenc#sha256"/>
        <DigestValue>uaG0dKgP9fdq5dc9SKOxsjO6aFrN5Az1VSB0/pJmHOY=</DigestValue>
      </Reference>
      <Reference URI="/xl/printerSettings/printerSettings39.bin?ContentType=application/vnd.openxmlformats-officedocument.spreadsheetml.printerSettings">
        <DigestMethod Algorithm="http://www.w3.org/2001/04/xmlenc#sha256"/>
        <DigestValue>1/ZWSL2z/rx8MILo7VSKeZ2fxt90tdO1+d177mn/62I=</DigestValue>
      </Reference>
      <Reference URI="/xl/printerSettings/printerSettings4.bin?ContentType=application/vnd.openxmlformats-officedocument.spreadsheetml.printerSettings">
        <DigestMethod Algorithm="http://www.w3.org/2001/04/xmlenc#sha256"/>
        <DigestValue>89nBNtWGa+e+nMBZt/vG241JYMcErfk0lLyizJbX5DQ=</DigestValue>
      </Reference>
      <Reference URI="/xl/printerSettings/printerSettings40.bin?ContentType=application/vnd.openxmlformats-officedocument.spreadsheetml.printerSettings">
        <DigestMethod Algorithm="http://www.w3.org/2001/04/xmlenc#sha256"/>
        <DigestValue>nJAHBoN2Wdd9B+xnkmN0ykoUgt2u5nrsxBIkEuDEWMI=</DigestValue>
      </Reference>
      <Reference URI="/xl/printerSettings/printerSettings41.bin?ContentType=application/vnd.openxmlformats-officedocument.spreadsheetml.printerSettings">
        <DigestMethod Algorithm="http://www.w3.org/2001/04/xmlenc#sha256"/>
        <DigestValue>zHpi8B/AzGRLezKgmRPAVYXkZ0umem7y+NaskYMBbNo=</DigestValue>
      </Reference>
      <Reference URI="/xl/printerSettings/printerSettings42.bin?ContentType=application/vnd.openxmlformats-officedocument.spreadsheetml.printerSettings">
        <DigestMethod Algorithm="http://www.w3.org/2001/04/xmlenc#sha256"/>
        <DigestValue>1/ZWSL2z/rx8MILo7VSKeZ2fxt90tdO1+d177mn/62I=</DigestValue>
      </Reference>
      <Reference URI="/xl/printerSettings/printerSettings43.bin?ContentType=application/vnd.openxmlformats-officedocument.spreadsheetml.printerSettings">
        <DigestMethod Algorithm="http://www.w3.org/2001/04/xmlenc#sha256"/>
        <DigestValue>zHpi8B/AzGRLezKgmRPAVYXkZ0umem7y+NaskYMBbNo=</DigestValue>
      </Reference>
      <Reference URI="/xl/printerSettings/printerSettings44.bin?ContentType=application/vnd.openxmlformats-officedocument.spreadsheetml.printerSettings">
        <DigestMethod Algorithm="http://www.w3.org/2001/04/xmlenc#sha256"/>
        <DigestValue>zHpi8B/AzGRLezKgmRPAVYXkZ0umem7y+NaskYMBbNo=</DigestValue>
      </Reference>
      <Reference URI="/xl/printerSettings/printerSettings45.bin?ContentType=application/vnd.openxmlformats-officedocument.spreadsheetml.printerSettings">
        <DigestMethod Algorithm="http://www.w3.org/2001/04/xmlenc#sha256"/>
        <DigestValue>PKvbYuXDtz2QckuDs7cNpUQNkkCqcuMyB+0oxE8UEtI=</DigestValue>
      </Reference>
      <Reference URI="/xl/printerSettings/printerSettings46.bin?ContentType=application/vnd.openxmlformats-officedocument.spreadsheetml.printerSettings">
        <DigestMethod Algorithm="http://www.w3.org/2001/04/xmlenc#sha256"/>
        <DigestValue>PKvbYuXDtz2QckuDs7cNpUQNkkCqcuMyB+0oxE8UEtI=</DigestValue>
      </Reference>
      <Reference URI="/xl/printerSettings/printerSettings5.bin?ContentType=application/vnd.openxmlformats-officedocument.spreadsheetml.printerSettings">
        <DigestMethod Algorithm="http://www.w3.org/2001/04/xmlenc#sha256"/>
        <DigestValue>SK3ve5YjWvCu/bPgXnCB+vXPOFLwdezqOIyUlNYX1Rs=</DigestValue>
      </Reference>
      <Reference URI="/xl/printerSettings/printerSettings6.bin?ContentType=application/vnd.openxmlformats-officedocument.spreadsheetml.printerSettings">
        <DigestMethod Algorithm="http://www.w3.org/2001/04/xmlenc#sha256"/>
        <DigestValue>ye0ygCp8mAHhrxXVqmrSxJPdXaRWG+7cYDv9YXcB6gc=</DigestValue>
      </Reference>
      <Reference URI="/xl/printerSettings/printerSettings7.bin?ContentType=application/vnd.openxmlformats-officedocument.spreadsheetml.printerSettings">
        <DigestMethod Algorithm="http://www.w3.org/2001/04/xmlenc#sha256"/>
        <DigestValue>eREZYrwMnkZvA29/8E4+7aeM8YqNhZtvIilWyIDfBbU=</DigestValue>
      </Reference>
      <Reference URI="/xl/printerSettings/printerSettings8.bin?ContentType=application/vnd.openxmlformats-officedocument.spreadsheetml.printerSettings">
        <DigestMethod Algorithm="http://www.w3.org/2001/04/xmlenc#sha256"/>
        <DigestValue>ye0ygCp8mAHhrxXVqmrSxJPdXaRWG+7cYDv9YXcB6gc=</DigestValue>
      </Reference>
      <Reference URI="/xl/printerSettings/printerSettings9.bin?ContentType=application/vnd.openxmlformats-officedocument.spreadsheetml.printerSettings">
        <DigestMethod Algorithm="http://www.w3.org/2001/04/xmlenc#sha256"/>
        <DigestValue>ye0ygCp8mAHhrxXVqmrSxJPdXaRWG+7cYDv9YXcB6gc=</DigestValue>
      </Reference>
      <Reference URI="/xl/sharedStrings.xml?ContentType=application/vnd.openxmlformats-officedocument.spreadsheetml.sharedStrings+xml">
        <DigestMethod Algorithm="http://www.w3.org/2001/04/xmlenc#sha256"/>
        <DigestValue>B1bZpjOBGENlWdWX2UMbYB2PpQYK2vFXnWQRur+zoPU=</DigestValue>
      </Reference>
      <Reference URI="/xl/styles.xml?ContentType=application/vnd.openxmlformats-officedocument.spreadsheetml.styles+xml">
        <DigestMethod Algorithm="http://www.w3.org/2001/04/xmlenc#sha256"/>
        <DigestValue>UR5/yYnoSV3ME6e901pEWZ8xoyW5mT2e2Jz6epQkBJo=</DigestValue>
      </Reference>
      <Reference URI="/xl/theme/theme1.xml?ContentType=application/vnd.openxmlformats-officedocument.theme+xml">
        <DigestMethod Algorithm="http://www.w3.org/2001/04/xmlenc#sha256"/>
        <DigestValue>9ZDC2JufYryaQksRfNXU723Z+OanJ/58pfsnHEq2DUE=</DigestValue>
      </Reference>
      <Reference URI="/xl/workbook.xml?ContentType=application/vnd.openxmlformats-officedocument.spreadsheetml.sheet.main+xml">
        <DigestMethod Algorithm="http://www.w3.org/2001/04/xmlenc#sha256"/>
        <DigestValue>rN6Ms0R2JZh/5uGW3D/Le9/dFVDmZUXSjGlF8lqzEms=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OG64TWTD7j+T6XEgwX6U1t2JQ9uBwF5JfRZ27xxpJ+w=</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aYXRgcDQ1Zc3QOfgyhqLIFev18/0l/S8gnTb1puzGIU=</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a44YNjtiym0S9exNLLrYg/u0IjW9EHsUCQlLPMlbO/o=</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HdiCc2p1UdKZddbHWP2HyFRaoEzeashVOh5eS2LOudg=</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7KnOMn7UlXli3Jy1eYmN5veK0HI9TOlohTDdyttJaLI=</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oCA/gRRRvc+jJc1iCaZLWrOziIRnDRXjxvYvv33q2GU=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w9kJgC3POm8IXkF8apaHYpiB7UgESnMvh8+REVGXmoc=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M1DPmTSPxL6pjK6Hlh39zRu5bD4dygfn4SBqudnogyE=</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aUH3EIC3LJ1WlPFqNXrO/jOyW/nktb+VO6C48U39/oI=</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k432tqojAmZglSJMpQHY06sOwkUHw93eXxXEqXwyorw=</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xwsv2H/gebHOpn0u17DPxoNhPhoF79jqTl8wgDpXcoc=</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tDoQKO/BkLp4kR3UztCc7PA22VmRNizbvJ+5Z2HWEFU=</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rLdvf3yY2ekrKu60idP2MsLKORy6SOjqi0FnsyMynGM=</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0k9F14bi/16tdQhj4IyNfKjYKY/Wxdjc6uOJZt2NSFQ=</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IgAbisjOm+Z/o4medQzuRzY+pxXjrkDU9o+AIfBQFik=</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k1lyfwqmmD/+IoVTg0kz9LzXUr1Uk3Si/nXVc+rnGMI=</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in1AbNBHz/S0qRwmZrYRmD6KDCBFiMU7ahORI/fscjY=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Cp9PA/EMUCmFN0rjs+ZKFhODDEGzJl8Ch1IdmuYTIUc=</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3iS29RgGizUTgmtBni8degzLfqWHy2uN4AVjRehr32M=</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nE0f+bF4IP96+tRIO9//VfSQTMl2/L1srvLlnHh7IeU=</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yLbFZOaatprfLLCZ68UZZxklXbzIrPkQXwNXZh1aUe4=</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I/R5yBYm6QMCUJuO8adD1NqOmD8fFhRangLh6nczLNQ=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2ftlSe7ENmwNdQ2MT4KexOA7ta+EHJXAokRQ/Sbe+To=</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0Bnugy7bzitJja739ggKaHQvkr3zKO9A9jpqBY3DiaI=</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82V9aXy3uiUF6h1goyLp993S42PSVT9uLFPxLc8qapo=</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1s/0Bn5zbBkiPy5hlL8rDE6/bmHjfNkm2MgsRuE+aR4=</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7/nemkTZSr1q715vAnYThMf5LzqTkmT+F+jq4QRqzpc=</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OwLohzYa4yen+N/yh2Zb+LLn80QJzm2nQIKSJKSFB/8=</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Y09xDoIGSmpx0MjWTeeEB8jIZEw0AQth19CsyTGwE8w=</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RofjFfDGEQEcA4cUnvodX7beZGieR+bW06/zJsc/T9U=</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1HjkxtgHDD2Y4CVW+ZVs76QTr049Upzf5O5AkLJUa4c=</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6Bbz0o48hzTUTtF6fo4ewGqu0GdHL0idXEEWlAzVmQ4=</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OsJnUIw8ZJm/JrtcL/mX12XnIt31BUOzLCNpse9AlCc=</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Jqu8TGjuincglhnXIRPw5rTdx9ds1e5FUfNPGK7lUxY=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FTLUZSzyPImP/h/5pTtmsiVav3XAxsSoaQXEM6xZNng=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eulYRWlfdY6JQDzO5q0VKDizVJzlUVk+OB91z40Pthc=</DigestValue>
      </Reference>
      <Reference URI="/xl/worksheets/sheet10.xml?ContentType=application/vnd.openxmlformats-officedocument.spreadsheetml.worksheet+xml">
        <DigestMethod Algorithm="http://www.w3.org/2001/04/xmlenc#sha256"/>
        <DigestValue>AIE9Lalx6Y4ebUi5fwWWxsNacrvlRXHgA2Ar20aJEe8=</DigestValue>
      </Reference>
      <Reference URI="/xl/worksheets/sheet11.xml?ContentType=application/vnd.openxmlformats-officedocument.spreadsheetml.worksheet+xml">
        <DigestMethod Algorithm="http://www.w3.org/2001/04/xmlenc#sha256"/>
        <DigestValue>CuDJZXk6/XBQ1lqj970pNbK2Q1byscVdW4t45woilW4=</DigestValue>
      </Reference>
      <Reference URI="/xl/worksheets/sheet12.xml?ContentType=application/vnd.openxmlformats-officedocument.spreadsheetml.worksheet+xml">
        <DigestMethod Algorithm="http://www.w3.org/2001/04/xmlenc#sha256"/>
        <DigestValue>Hvl/uayR/bEVInvVyD8SICQtSzvaC/OkuxdsCQYlWA4=</DigestValue>
      </Reference>
      <Reference URI="/xl/worksheets/sheet13.xml?ContentType=application/vnd.openxmlformats-officedocument.spreadsheetml.worksheet+xml">
        <DigestMethod Algorithm="http://www.w3.org/2001/04/xmlenc#sha256"/>
        <DigestValue>lRHRuiCXFHqCE0gj//m9MdLGI6zgfZSXvPoqsxTYlvQ=</DigestValue>
      </Reference>
      <Reference URI="/xl/worksheets/sheet14.xml?ContentType=application/vnd.openxmlformats-officedocument.spreadsheetml.worksheet+xml">
        <DigestMethod Algorithm="http://www.w3.org/2001/04/xmlenc#sha256"/>
        <DigestValue>NqergfGY08S5/dIu/cC8kRmFg/56AhfYwwbcF82fDyA=</DigestValue>
      </Reference>
      <Reference URI="/xl/worksheets/sheet15.xml?ContentType=application/vnd.openxmlformats-officedocument.spreadsheetml.worksheet+xml">
        <DigestMethod Algorithm="http://www.w3.org/2001/04/xmlenc#sha256"/>
        <DigestValue>xwo6wv4YuxbXuBDFy29E44NUjZHH71ugavQjnoWSSAo=</DigestValue>
      </Reference>
      <Reference URI="/xl/worksheets/sheet16.xml?ContentType=application/vnd.openxmlformats-officedocument.spreadsheetml.worksheet+xml">
        <DigestMethod Algorithm="http://www.w3.org/2001/04/xmlenc#sha256"/>
        <DigestValue>WZIgPu3yGpIXX7gHru0VvQLmpERpU0I0N8bUUxRd1Jc=</DigestValue>
      </Reference>
      <Reference URI="/xl/worksheets/sheet17.xml?ContentType=application/vnd.openxmlformats-officedocument.spreadsheetml.worksheet+xml">
        <DigestMethod Algorithm="http://www.w3.org/2001/04/xmlenc#sha256"/>
        <DigestValue>F7fXwSSdHtzB/v+8sdeSM/Aa2dxmftgDm3pQurCq3Ic=</DigestValue>
      </Reference>
      <Reference URI="/xl/worksheets/sheet18.xml?ContentType=application/vnd.openxmlformats-officedocument.spreadsheetml.worksheet+xml">
        <DigestMethod Algorithm="http://www.w3.org/2001/04/xmlenc#sha256"/>
        <DigestValue>omlPsMfD2qtyiWh3IZkgjY9bAooYUWGOrzhnGhzKAWc=</DigestValue>
      </Reference>
      <Reference URI="/xl/worksheets/sheet19.xml?ContentType=application/vnd.openxmlformats-officedocument.spreadsheetml.worksheet+xml">
        <DigestMethod Algorithm="http://www.w3.org/2001/04/xmlenc#sha256"/>
        <DigestValue>UWOc/phmKOa3xvS/TW0k6x2Ec8jaXocPlm92ijt+HiU=</DigestValue>
      </Reference>
      <Reference URI="/xl/worksheets/sheet2.xml?ContentType=application/vnd.openxmlformats-officedocument.spreadsheetml.worksheet+xml">
        <DigestMethod Algorithm="http://www.w3.org/2001/04/xmlenc#sha256"/>
        <DigestValue>MGlijvdnhc39Pvlkl5c6Nkwxn2XtKaMWvkzHNPlt82U=</DigestValue>
      </Reference>
      <Reference URI="/xl/worksheets/sheet20.xml?ContentType=application/vnd.openxmlformats-officedocument.spreadsheetml.worksheet+xml">
        <DigestMethod Algorithm="http://www.w3.org/2001/04/xmlenc#sha256"/>
        <DigestValue>UTwzTQxN8YOjCAswdZMJDM6oUd1rujjiqDhLsT1w0ME=</DigestValue>
      </Reference>
      <Reference URI="/xl/worksheets/sheet21.xml?ContentType=application/vnd.openxmlformats-officedocument.spreadsheetml.worksheet+xml">
        <DigestMethod Algorithm="http://www.w3.org/2001/04/xmlenc#sha256"/>
        <DigestValue>cOnPOmJ6K44GWZceadr/dEEvbw3HONesToJmtwQHMdk=</DigestValue>
      </Reference>
      <Reference URI="/xl/worksheets/sheet22.xml?ContentType=application/vnd.openxmlformats-officedocument.spreadsheetml.worksheet+xml">
        <DigestMethod Algorithm="http://www.w3.org/2001/04/xmlenc#sha256"/>
        <DigestValue>PE65N6vhlhOfEJle7XRp3hle7sKhyNL43tMy9AE8MRA=</DigestValue>
      </Reference>
      <Reference URI="/xl/worksheets/sheet23.xml?ContentType=application/vnd.openxmlformats-officedocument.spreadsheetml.worksheet+xml">
        <DigestMethod Algorithm="http://www.w3.org/2001/04/xmlenc#sha256"/>
        <DigestValue>87HWAcvX8rRC/Kzjxd8lFiqk0YvqWqarG82a0CbrvTI=</DigestValue>
      </Reference>
      <Reference URI="/xl/worksheets/sheet24.xml?ContentType=application/vnd.openxmlformats-officedocument.spreadsheetml.worksheet+xml">
        <DigestMethod Algorithm="http://www.w3.org/2001/04/xmlenc#sha256"/>
        <DigestValue>2F/pd03FbRsoE/+KPF6RneP8Ma4kKOwmrk15FBxU0kc=</DigestValue>
      </Reference>
      <Reference URI="/xl/worksheets/sheet25.xml?ContentType=application/vnd.openxmlformats-officedocument.spreadsheetml.worksheet+xml">
        <DigestMethod Algorithm="http://www.w3.org/2001/04/xmlenc#sha256"/>
        <DigestValue>YsHKIr2dBrV96KvQ04Jbtqo9tbhjLVgT4w8GED8Spl8=</DigestValue>
      </Reference>
      <Reference URI="/xl/worksheets/sheet26.xml?ContentType=application/vnd.openxmlformats-officedocument.spreadsheetml.worksheet+xml">
        <DigestMethod Algorithm="http://www.w3.org/2001/04/xmlenc#sha256"/>
        <DigestValue>WjKTCj/qPPzpVOqSsdfcvtSQycp2DsTG0/0yKzppztQ=</DigestValue>
      </Reference>
      <Reference URI="/xl/worksheets/sheet27.xml?ContentType=application/vnd.openxmlformats-officedocument.spreadsheetml.worksheet+xml">
        <DigestMethod Algorithm="http://www.w3.org/2001/04/xmlenc#sha256"/>
        <DigestValue>qASykL3bGlUWMx83Sf/k1lW59nsi3Yv3GmEOAgGQfZY=</DigestValue>
      </Reference>
      <Reference URI="/xl/worksheets/sheet28.xml?ContentType=application/vnd.openxmlformats-officedocument.spreadsheetml.worksheet+xml">
        <DigestMethod Algorithm="http://www.w3.org/2001/04/xmlenc#sha256"/>
        <DigestValue>0H/Ou850X2dN/zZwmTxEyz2zn/LZYqc6mNdNmjUlhG0=</DigestValue>
      </Reference>
      <Reference URI="/xl/worksheets/sheet29.xml?ContentType=application/vnd.openxmlformats-officedocument.spreadsheetml.worksheet+xml">
        <DigestMethod Algorithm="http://www.w3.org/2001/04/xmlenc#sha256"/>
        <DigestValue>A4IICHEHr/QM79ZcYg11p9uE0gYBZlhb6Q+THPOtT9A=</DigestValue>
      </Reference>
      <Reference URI="/xl/worksheets/sheet3.xml?ContentType=application/vnd.openxmlformats-officedocument.spreadsheetml.worksheet+xml">
        <DigestMethod Algorithm="http://www.w3.org/2001/04/xmlenc#sha256"/>
        <DigestValue>4Q0udzkgNXJsTJ56IAD6NWGyDz7NPy5ZEjEMzCXFNqA=</DigestValue>
      </Reference>
      <Reference URI="/xl/worksheets/sheet30.xml?ContentType=application/vnd.openxmlformats-officedocument.spreadsheetml.worksheet+xml">
        <DigestMethod Algorithm="http://www.w3.org/2001/04/xmlenc#sha256"/>
        <DigestValue>pbkk3SUqOi3sIQ6/rOLiVH6xG2DrUtXzS4IuxWC8QWs=</DigestValue>
      </Reference>
      <Reference URI="/xl/worksheets/sheet31.xml?ContentType=application/vnd.openxmlformats-officedocument.spreadsheetml.worksheet+xml">
        <DigestMethod Algorithm="http://www.w3.org/2001/04/xmlenc#sha256"/>
        <DigestValue>ngkite/ILMUk5AIVYzOV/XsCJhQ2U9w3D8cfAR4x1D8=</DigestValue>
      </Reference>
      <Reference URI="/xl/worksheets/sheet32.xml?ContentType=application/vnd.openxmlformats-officedocument.spreadsheetml.worksheet+xml">
        <DigestMethod Algorithm="http://www.w3.org/2001/04/xmlenc#sha256"/>
        <DigestValue>yqk47wmQnrsX+1h2Q8GsZE93h7IEClMzUJHDUhf4hfY=</DigestValue>
      </Reference>
      <Reference URI="/xl/worksheets/sheet33.xml?ContentType=application/vnd.openxmlformats-officedocument.spreadsheetml.worksheet+xml">
        <DigestMethod Algorithm="http://www.w3.org/2001/04/xmlenc#sha256"/>
        <DigestValue>/jVFQD1qG2N+lhorqWU7nl9v8bCsAisJ9Ac/gutdCpo=</DigestValue>
      </Reference>
      <Reference URI="/xl/worksheets/sheet34.xml?ContentType=application/vnd.openxmlformats-officedocument.spreadsheetml.worksheet+xml">
        <DigestMethod Algorithm="http://www.w3.org/2001/04/xmlenc#sha256"/>
        <DigestValue>+ffv7htiVUXUxbUQbM93Zeupg37xjLdr56EGAw3VUrA=</DigestValue>
      </Reference>
      <Reference URI="/xl/worksheets/sheet35.xml?ContentType=application/vnd.openxmlformats-officedocument.spreadsheetml.worksheet+xml">
        <DigestMethod Algorithm="http://www.w3.org/2001/04/xmlenc#sha256"/>
        <DigestValue>Ut89VO05itATvizdEH7BhhHEC+7QJ+dBJ9+6OuH69ho=</DigestValue>
      </Reference>
      <Reference URI="/xl/worksheets/sheet36.xml?ContentType=application/vnd.openxmlformats-officedocument.spreadsheetml.worksheet+xml">
        <DigestMethod Algorithm="http://www.w3.org/2001/04/xmlenc#sha256"/>
        <DigestValue>dA0mjxl3jU2/2APsZJXHF9UnqLhw+LJGj94vP7vJVYk=</DigestValue>
      </Reference>
      <Reference URI="/xl/worksheets/sheet37.xml?ContentType=application/vnd.openxmlformats-officedocument.spreadsheetml.worksheet+xml">
        <DigestMethod Algorithm="http://www.w3.org/2001/04/xmlenc#sha256"/>
        <DigestValue>9uxGy15Zr/KZtQduegUkqH+AD+J2by56lFqGCT6pUfg=</DigestValue>
      </Reference>
      <Reference URI="/xl/worksheets/sheet38.xml?ContentType=application/vnd.openxmlformats-officedocument.spreadsheetml.worksheet+xml">
        <DigestMethod Algorithm="http://www.w3.org/2001/04/xmlenc#sha256"/>
        <DigestValue>ACJsDNYI/LufmFIJ4ZqEROuZHyg82ITzjH/HEPDHoo8=</DigestValue>
      </Reference>
      <Reference URI="/xl/worksheets/sheet39.xml?ContentType=application/vnd.openxmlformats-officedocument.spreadsheetml.worksheet+xml">
        <DigestMethod Algorithm="http://www.w3.org/2001/04/xmlenc#sha256"/>
        <DigestValue>pSR+HvoetI1krVGImOpRhrBrPit/bNjGqLmkcTTSPj0=</DigestValue>
      </Reference>
      <Reference URI="/xl/worksheets/sheet4.xml?ContentType=application/vnd.openxmlformats-officedocument.spreadsheetml.worksheet+xml">
        <DigestMethod Algorithm="http://www.w3.org/2001/04/xmlenc#sha256"/>
        <DigestValue>10QfmcRVCa7enVoXzF3mlh5w4+X8MD7cMhIlrYBTzw8=</DigestValue>
      </Reference>
      <Reference URI="/xl/worksheets/sheet40.xml?ContentType=application/vnd.openxmlformats-officedocument.spreadsheetml.worksheet+xml">
        <DigestMethod Algorithm="http://www.w3.org/2001/04/xmlenc#sha256"/>
        <DigestValue>i11fiBBUbtxUl0YMCXIrpCzpsz64xbyv23djEXYLNFQ=</DigestValue>
      </Reference>
      <Reference URI="/xl/worksheets/sheet41.xml?ContentType=application/vnd.openxmlformats-officedocument.spreadsheetml.worksheet+xml">
        <DigestMethod Algorithm="http://www.w3.org/2001/04/xmlenc#sha256"/>
        <DigestValue>GVXdTe1+RzTJtEEJnd4k/BOxhOs1OKyofP5bxyqbL8s=</DigestValue>
      </Reference>
      <Reference URI="/xl/worksheets/sheet42.xml?ContentType=application/vnd.openxmlformats-officedocument.spreadsheetml.worksheet+xml">
        <DigestMethod Algorithm="http://www.w3.org/2001/04/xmlenc#sha256"/>
        <DigestValue>28O2bxI6iRWYo2yT2xXYuEZqBHlMulmx1p3vZp6Iaso=</DigestValue>
      </Reference>
      <Reference URI="/xl/worksheets/sheet43.xml?ContentType=application/vnd.openxmlformats-officedocument.spreadsheetml.worksheet+xml">
        <DigestMethod Algorithm="http://www.w3.org/2001/04/xmlenc#sha256"/>
        <DigestValue>SUeAfw9ZWAP0/4LG7SqThb9cydR+aGtUKQJHsyvt+4o=</DigestValue>
      </Reference>
      <Reference URI="/xl/worksheets/sheet44.xml?ContentType=application/vnd.openxmlformats-officedocument.spreadsheetml.worksheet+xml">
        <DigestMethod Algorithm="http://www.w3.org/2001/04/xmlenc#sha256"/>
        <DigestValue>Ls25i/vfGJ7zfoWK5qB25xgYGYmITTsIGI+wwljdYWo=</DigestValue>
      </Reference>
      <Reference URI="/xl/worksheets/sheet45.xml?ContentType=application/vnd.openxmlformats-officedocument.spreadsheetml.worksheet+xml">
        <DigestMethod Algorithm="http://www.w3.org/2001/04/xmlenc#sha256"/>
        <DigestValue>Yv6JRFRrE63bK+AY1ZOAVR2mACHl5P4bLA5aW2WwkSA=</DigestValue>
      </Reference>
      <Reference URI="/xl/worksheets/sheet46.xml?ContentType=application/vnd.openxmlformats-officedocument.spreadsheetml.worksheet+xml">
        <DigestMethod Algorithm="http://www.w3.org/2001/04/xmlenc#sha256"/>
        <DigestValue>2bseKnx2EWcIVLNyVJm7YqP95RDhQdJZqyFwM6N7xNE=</DigestValue>
      </Reference>
      <Reference URI="/xl/worksheets/sheet5.xml?ContentType=application/vnd.openxmlformats-officedocument.spreadsheetml.worksheet+xml">
        <DigestMethod Algorithm="http://www.w3.org/2001/04/xmlenc#sha256"/>
        <DigestValue>lxzQX+s7Hxaqq3w3c6oJgA1JJAqkYAJl2KJN/LhQbvk=</DigestValue>
      </Reference>
      <Reference URI="/xl/worksheets/sheet6.xml?ContentType=application/vnd.openxmlformats-officedocument.spreadsheetml.worksheet+xml">
        <DigestMethod Algorithm="http://www.w3.org/2001/04/xmlenc#sha256"/>
        <DigestValue>fCJ0zFiEHiOBxPSjwl5mMaDPUQtqC0nWCO+1NloWnRo=</DigestValue>
      </Reference>
      <Reference URI="/xl/worksheets/sheet7.xml?ContentType=application/vnd.openxmlformats-officedocument.spreadsheetml.worksheet+xml">
        <DigestMethod Algorithm="http://www.w3.org/2001/04/xmlenc#sha256"/>
        <DigestValue>snW1icKydvJ8H9ZQGvVYMM3Z3pexWFCaf4mCw+NhJk4=</DigestValue>
      </Reference>
      <Reference URI="/xl/worksheets/sheet8.xml?ContentType=application/vnd.openxmlformats-officedocument.spreadsheetml.worksheet+xml">
        <DigestMethod Algorithm="http://www.w3.org/2001/04/xmlenc#sha256"/>
        <DigestValue>9iBPpvYs4XqKQPfZxJPyPgaSPDk0L0LayREllbCwqFA=</DigestValue>
      </Reference>
      <Reference URI="/xl/worksheets/sheet9.xml?ContentType=application/vnd.openxmlformats-officedocument.spreadsheetml.worksheet+xml">
        <DigestMethod Algorithm="http://www.w3.org/2001/04/xmlenc#sha256"/>
        <DigestValue>o2si30x2X+LYLNamB6ljcFjKfnxKfoKrAGw++qdlzSA=</DigestValue>
      </Reference>
    </Manifest>
    <SignatureProperties>
      <SignatureProperty Id="idSignatureTime" Target="#idPackageSignature">
        <mdssi:SignatureTime xmlns:mdssi="http://schemas.openxmlformats.org/package/2006/digital-signature">
          <mdssi:Format>YYYY-MM-DDThh:mm:ssTZD</mdssi:Format>
          <mdssi:Value>2025-03-31T11:26:29Z</mdssi:Value>
        </mdssi:SignatureTime>
      </SignatureProperty>
    </SignatureProperties>
  </Object>
  <Object Id="idOfficeObject">
    <SignatureProperties>
      <SignatureProperty Id="idOfficeV1Details" Target="#idPackageSignature">
        <SignatureInfoV1 xmlns="http://schemas.microsoft.com/office/2006/digsig">
          <SetupID>{26F00662-15B2-444B-A8E3-5D508890BC1E}</SetupID>
          <SignatureText>C.P. Maria Teresa Insfrán</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2025-03-31T11:26:29Z</xd:SigningTime>
          <xd:SigningCertificate>
            <xd:Cert>
              <xd:CertDigest>
                <DigestMethod Algorithm="http://www.w3.org/2001/04/xmlenc#sha256"/>
                <DigestValue>3r6JzHE2nPywlPO41x/BSPSnpC/Tk5M79VyvKBwKjtA=</DigestValue>
              </xd:CertDigest>
              <xd:IssuerSerial>
                <X509IssuerName>C=PY, O=DOCUMENTA S.A., SERIALNUMBER=RUC80050172-1, CN=CA-DOCUMENTA S.A.</X509IssuerName>
                <X509SerialNumber>70446782902620675</X509SerialNumber>
              </xd:IssuerSerial>
            </xd:Cert>
          </xd:SigningCertificate>
          <xd:SignaturePolicyIdentifier>
            <xd:SignaturePolicyImplied/>
          </xd:SignaturePolicyIdentifier>
        </xd:SignedSignatureProperties>
      </xd:SignedProperties>
    </xd:QualifyingProperties>
  </Object>
  <Object Id="idValidSigLnImg">AQAAAGwAAAAAAAAAAAAAAAMBAAB/AAAAAAAAAAAAAACUGQAAkQwAACBFTUYAAAEAGBwAAKoAAAAGAAAAAAAAAAAAAAAAAAAAVgUAAAADAABYAQAAwQAAAAAAAAAAAAAAAAAAAMA/BQDo8QIACgAAABAAAAAAAAAAAAAAAEsAAAAQAAAAAAAAAAUAAAAeAAAAGAAAAAAAAAAAAAAABAEAAIAAAAAnAAAAGAAAAAEAAAAAAAAAAAAAAAAAAAAlAAAADAAAAAEAAABMAAAAZAAAAAAAAAAAAAAAAwEAAH8AAAAAAAAAAAAAAAQ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DAQAAfwAAAAAAAAAAAAAABAEAAIAAAAAhAPAAAAAAAAAAAAAAAIA/AAAAAAAAAAAAAIA/AAAAAAAAAAAAAAAAAAAAAAAAAAAAAAAAAAAAAAAAAAAlAAAADAAAAAAAAIAoAAAADAAAAAEAAAAnAAAAGAAAAAEAAAAAAAAA8PDwAAAAAAAlAAAADAAAAAEAAABMAAAAZAAAAAAAAAAAAAAAAwEAAH8AAAAAAAAAAAAAAAQBAACAAAAAIQDwAAAAAAAAAAAAAACAPwAAAAAAAAAAAACAPwAAAAAAAAAAAAAAAAAAAAAAAAAAAAAAAAAAAAAAAAAAJQAAAAwAAAAAAACAKAAAAAwAAAABAAAAJwAAABgAAAABAAAAAAAAAPDw8AAAAAAAJQAAAAwAAAABAAAATAAAAGQAAAAAAAAAAAAAAAMBAAB/AAAAAAAAAAAAAAAEAQAAgAAAACEA8AAAAAAAAAAAAAAAgD8AAAAAAAAAAAAAgD8AAAAAAAAAAAAAAAAAAAAAAAAAAAAAAAAAAAAAAAAAACUAAAAMAAAAAAAAgCgAAAAMAAAAAQAAACcAAAAYAAAAAQAAAAAAAADw8PAAAAAAACUAAAAMAAAAAQAAAEwAAABkAAAAAAAAAAAAAAADAQAAfwAAAAAAAAAAAAAABAEAAIAAAAAhAPAAAAAAAAAAAAAAAIA/AAAAAAAAAAAAAIA/AAAAAAAAAAAAAAAAAAAAAAAAAAAAAAAAAAAAAAAAAAAlAAAADAAAAAAAAIAoAAAADAAAAAEAAAAnAAAAGAAAAAEAAAAAAAAA////AAAAAAAlAAAADAAAAAEAAABMAAAAZAAAAAAAAAAAAAAAAwEAAH8AAAAAAAAAAAAAAAQBAACAAAAAIQDwAAAAAAAAAAAAAACAPwAAAAAAAAAAAACAPwAAAAAAAAAAAAAAAAAAAAAAAAAAAAAAAAAAAAAAAAAAJQAAAAwAAAAAAACAKAAAAAwAAAABAAAAJwAAABgAAAABAAAAAAAAAP///wAAAAAAJQAAAAwAAAABAAAATAAAAGQAAAAAAAAAAAAAAAMBAAB/AAAAAAAAAAAAAAAE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wAxAC8AMwAvADIAMAAyADUAwhIGAAAABgAAAAQAAAAGAAAABAAAAAYAAAAGAAAABgAAAAYAAABLAAAAQAAAADAAAAAFAAAAIAAAAAEAAAABAAAAEAAAAAAAAAAAAAAABAEAAIAAAAAAAAAAAAAAAAQ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KJz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QAAABHAAAAKQAAADMAAACs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UAAABIAAAAJQAAAAwAAAAEAAAAVAAAAOQAAAAqAAAAMwAAANMAAABHAAAAAQAAANF2yUGrCslBKgAAADMAAAAZAAAATAAAAAAAAAAAAAAAAAAAAP//////////gAAAAEMALgBQAC4AIABNAGEAcgBpAGEAIABUAGUAcgBlAHMAYQAgAEkAbgBzAGYAcgDhAG4AAAAKAAAAAwAAAAkAAAADAAAABAAAAA4AAAAIAAAABgAAAAQAAAAIAAAABAAAAAgAAAAIAAAABgAAAAgAAAAHAAAACAAAAAQAAAAEAAAACQAAAAcAAAAFAAAABgAAAAgAAAAJAAAASwAAAEAAAAAwAAAABQAAACAAAAABAAAAAQAAABAAAAAAAAAAAAAAAAQBAACAAAAAAAAAAAAAAAAEAQAAgAAAACUAAAAMAAAAAgAAACcAAAAYAAAABQAAAAAAAAD///8AAAAAACUAAAAMAAAABQAAAEwAAABkAAAAAAAAAFAAAAADAQAAfAAAAAAAAABQAAAABAEAAC0AAAAhAPAAAAAAAAAAAAAAAIA/AAAAAAAAAAAAAIA/AAAAAAAAAAAAAAAAAAAAAAAAAAAAAAAAAAAAAAAAAAAlAAAADAAAAAAAAIAoAAAADAAAAAUAAAAnAAAAGAAAAAUAAAAAAAAA////AAAAAAAlAAAADAAAAAUAAABMAAAAZAAAAAkAAABQAAAA+gAAAFwAAAAJAAAAUAAAAPIAAAANAAAAIQDwAAAAAAAAAAAAAACAPwAAAAAAAAAAAACAPwAAAAAAAAAAAAAAAAAAAAAAAAAAAAAAAAAAAAAAAAAAJQAAAAwAAAAAAACAKAAAAAwAAAAFAAAAJQAAAAwAAAABAAAAGAAAAAwAAAAAAAAAEgAAAAwAAAABAAAAHgAAABgAAAAJAAAAUAAAAPsAAABdAAAAJQAAAAwAAAABAAAAVAAAAOQAAAAKAAAAUAAAAIcAAABcAAAAAQAAANF2yUGrCslBCgAAAFAAAAAZAAAATAAAAAAAAAAAAAAAAAAAAP//////////gAAAAEMALgBQAC4AIABNAGEAcgDtAGEAIABUAGUAcgBlAHMAYQAgAEkAbgBzAGYAcgDhAG4AAAAHAAAAAwAAAAYAAAADAAAAAwAAAAoAAAAGAAAABAAAAAMAAAAGAAAAAwAAAAYAAAAGAAAABAAAAAYAAAAFAAAABgAAAAMAAAADAAAABwAAAAUAAAAEAAAABAAAAAYAAAAHAAAASwAAAEAAAAAwAAAABQAAACAAAAABAAAAAQAAABAAAAAAAAAAAAAAAAQBAACAAAAAAAAAAAAAAAAEAQAAgAAAACUAAAAMAAAAAgAAACcAAAAYAAAABQAAAAAAAAD///8AAAAAACUAAAAMAAAABQAAAEwAAABkAAAACQAAAGAAAAD6AAAAbAAAAAkAAABgAAAA8gAAAA0AAAAhAPAAAAAAAAAAAAAAAIA/AAAAAAAAAAAAAIA/AAAAAAAAAAAAAAAAAAAAAAAAAAAAAAAAAAAAAAAAAAAlAAAADAAAAAAAAIAoAAAADAAAAAUAAAAlAAAADAAAAAEAAAAYAAAADAAAAAAAAAASAAAADAAAAAEAAAAeAAAAGAAAAAkAAABgAAAA+wAAAG0AAAAlAAAADAAAAAEAAABUAAAAhAAAAAoAAABgAAAAQAAAAGwAAAABAAAA0XbJQasKyUEKAAAAYAAAAAkAAABMAAAAAAAAAAAAAAAAAAAA//////////9gAAAAQwBvAG4AdABhAGQAbwByAGEAAAAHAAAABwAAAAcAAAAEAAAABgAAAAcAAAAHAAAABAAAAAYAAABLAAAAQAAAADAAAAAFAAAAIAAAAAEAAAABAAAAEAAAAAAAAAAAAAAABAEAAIAAAAAAAAAAAAAAAAQBAACAAAAAJQAAAAwAAAACAAAAJwAAABgAAAAFAAAAAAAAAP///wAAAAAAJQAAAAwAAAAFAAAATAAAAGQAAAAJAAAAcAAAAPoAAAB8AAAACQAAAHAAAADyAAAADQAAACEA8AAAAAAAAAAAAAAAgD8AAAAAAAAAAAAAgD8AAAAAAAAAAAAAAAAAAAAAAAAAAAAAAAAAAAAAAAAAACUAAAAMAAAAAAAAgCgAAAAMAAAABQAAACUAAAAMAAAAAQAAABgAAAAMAAAAAAAAABIAAAAMAAAAAQAAABYAAAAMAAAAAAAAAFQAAAA8AQAACgAAAHAAAAD5AAAAfAAAAAEAAADRdslBqwrJQQoAAABwAAAAKAAAAEwAAAAEAAAACQAAAHAAAAD7AAAAfQAAAJwAAABGAGkAcgBtAGEAZABvACAAcABvAHIAOgAgAE0AQQBSAEkAQQAgAFQARQBSAEUAUwBBACAASQBOAFMARgBSAEEATgAgAEEARwBVAEUAUgBPAAYAAAADAAAABAAAAAkAAAAGAAAABwAAAAcAAAADAAAABwAAAAcAAAAEAAAAAwAAAAMAAAAKAAAABwAAAAcAAAADAAAABwAAAAMAAAAGAAAABgAAAAcAAAAGAAAABgAAAAcAAAADAAAAAwAAAAgAAAAGAAAABgAAAAcAAAAHAAAACAAAAAMAAAAHAAAACAAAAAgAAAAGAAAABwAAAAkAAAAWAAAADAAAAAAAAAAlAAAADAAAAAIAAAAOAAAAFAAAAAAAAAAQAAAAFAAAAA==</Object>
  <Object Id="idInvalidSigLnImg">AQAAAGwAAAAAAAAAAAAAAAMBAAB/AAAAAAAAAAAAAACUGQAAkQwAACBFTUYAAAEAiCEAALEAAAAGAAAAAAAAAAAAAAAAAAAAVgUAAAADAABYAQAAwQAAAAAAAAAAAAAAAAAAAMA/BQDo8QIACgAAABAAAAAAAAAAAAAAAEsAAAAQAAAAAAAAAAUAAAAeAAAAGAAAAAAAAAAAAAAABAEAAIAAAAAnAAAAGAAAAAEAAAAAAAAAAAAAAAAAAAAlAAAADAAAAAEAAABMAAAAZAAAAAAAAAAAAAAAAwEAAH8AAAAAAAAAAAAAAAQ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DAQAAfwAAAAAAAAAAAAAABAEAAIAAAAAhAPAAAAAAAAAAAAAAAIA/AAAAAAAAAAAAAIA/AAAAAAAAAAAAAAAAAAAAAAAAAAAAAAAAAAAAAAAAAAAlAAAADAAAAAAAAIAoAAAADAAAAAEAAAAnAAAAGAAAAAEAAAAAAAAA8PDwAAAAAAAlAAAADAAAAAEAAABMAAAAZAAAAAAAAAAAAAAAAwEAAH8AAAAAAAAAAAAAAAQBAACAAAAAIQDwAAAAAAAAAAAAAACAPwAAAAAAAAAAAACAPwAAAAAAAAAAAAAAAAAAAAAAAAAAAAAAAAAAAAAAAAAAJQAAAAwAAAAAAACAKAAAAAwAAAABAAAAJwAAABgAAAABAAAAAAAAAPDw8AAAAAAAJQAAAAwAAAABAAAATAAAAGQAAAAAAAAAAAAAAAMBAAB/AAAAAAAAAAAAAAAEAQAAgAAAACEA8AAAAAAAAAAAAAAAgD8AAAAAAAAAAAAAgD8AAAAAAAAAAAAAAAAAAAAAAAAAAAAAAAAAAAAAAAAAACUAAAAMAAAAAAAAgCgAAAAMAAAAAQAAACcAAAAYAAAAAQAAAAAAAADw8PAAAAAAACUAAAAMAAAAAQAAAEwAAABkAAAAAAAAAAAAAAADAQAAfwAAAAAAAAAAAAAABAEAAIAAAAAhAPAAAAAAAAAAAAAAAIA/AAAAAAAAAAAAAIA/AAAAAAAAAAAAAAAAAAAAAAAAAAAAAAAAAAAAAAAAAAAlAAAADAAAAAAAAIAoAAAADAAAAAEAAAAnAAAAGAAAAAEAAAAAAAAA////AAAAAAAlAAAADAAAAAEAAABMAAAAZAAAAAAAAAAAAAAAAwEAAH8AAAAAAAAAAAAAAAQBAACAAAAAIQDwAAAAAAAAAAAAAACAPwAAAAAAAAAAAACAPwAAAAAAAAAAAAAAAAAAAAAAAAAAAAAAAAAAAAAAAAAAJQAAAAwAAAAAAACAKAAAAAwAAAABAAAAJwAAABgAAAABAAAAAAAAAP///wAAAAAAJQAAAAwAAAABAAAATAAAAGQAAAAAAAAAAAAAAAMBAAB/AAAAAAAAAAAAAAAE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0XbJQasKyUEjAAAABAAAAA8AAABMAAAAAAAAAAAAAAAAAAAA//////////9sAAAARgBpAHIAbQBhACAAbgBvACAAdgDhAGwAaQBkAGEA9n4GAAAAAwAAAAQAAAAJAAAABgAAAAMAAAAHAAAABwAAAAMAAAAFAAAABgAAAAMAAAADAAAABwAAAAYAAABLAAAAQAAAADAAAAAFAAAAIAAAAAEAAAABAAAAEAAAAAAAAAAAAAAABAEAAIAAAAAAAAAAAAAAAAQ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KRv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QAAABHAAAAKQAAADMAAACs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UAAABIAAAAJQAAAAwAAAAEAAAAVAAAAOQAAAAqAAAAMwAAANMAAABHAAAAAQAAANF2yUGrCslBKgAAADMAAAAZAAAATAAAAAAAAAAAAAAAAAAAAP//////////gAAAAEMALgBQAC4AIABNAGEAcgBpAGEAIABUAGUAcgBlAHMAYQAgAEkAbgBzAGYAcgDhAG4AAAAKAAAAAwAAAAkAAAADAAAABAAAAA4AAAAIAAAABgAAAAQAAAAIAAAABAAAAAgAAAAIAAAABgAAAAgAAAAHAAAACAAAAAQAAAAEAAAACQAAAAcAAAAFAAAABgAAAAgAAAAJAAAASwAAAEAAAAAwAAAABQAAACAAAAABAAAAAQAAABAAAAAAAAAAAAAAAAQBAACAAAAAAAAAAAAAAAAEAQAAgAAAACUAAAAMAAAAAgAAACcAAAAYAAAABQAAAAAAAAD///8AAAAAACUAAAAMAAAABQAAAEwAAABkAAAAAAAAAFAAAAADAQAAfAAAAAAAAABQAAAABAEAAC0AAAAhAPAAAAAAAAAAAAAAAIA/AAAAAAAAAAAAAIA/AAAAAAAAAAAAAAAAAAAAAAAAAAAAAAAAAAAAAAAAAAAlAAAADAAAAAAAAIAoAAAADAAAAAUAAAAnAAAAGAAAAAUAAAAAAAAA////AAAAAAAlAAAADAAAAAUAAABMAAAAZAAAAAkAAABQAAAA+gAAAFwAAAAJAAAAUAAAAPIAAAANAAAAIQDwAAAAAAAAAAAAAACAPwAAAAAAAAAAAACAPwAAAAAAAAAAAAAAAAAAAAAAAAAAAAAAAAAAAAAAAAAAJQAAAAwAAAAAAACAKAAAAAwAAAAFAAAAJQAAAAwAAAABAAAAGAAAAAwAAAAAAAAAEgAAAAwAAAABAAAAHgAAABgAAAAJAAAAUAAAAPsAAABdAAAAJQAAAAwAAAABAAAAVAAAAOQAAAAKAAAAUAAAAIcAAABcAAAAAQAAANF2yUGrCslBCgAAAFAAAAAZAAAATAAAAAAAAAAAAAAAAAAAAP//////////gAAAAEMALgBQAC4AIABNAGEAcgDtAGEAIABUAGUAcgBlAHMAYQAgAEkAbgBzAGYAcgDhAG4AAAAHAAAAAwAAAAYAAAADAAAAAwAAAAoAAAAGAAAABAAAAAMAAAAGAAAAAwAAAAYAAAAGAAAABAAAAAYAAAAFAAAABgAAAAMAAAADAAAABwAAAAUAAAAEAAAABAAAAAYAAAAHAAAASwAAAEAAAAAwAAAABQAAACAAAAABAAAAAQAAABAAAAAAAAAAAAAAAAQBAACAAAAAAAAAAAAAAAAEAQAAgAAAACUAAAAMAAAAAgAAACcAAAAYAAAABQAAAAAAAAD///8AAAAAACUAAAAMAAAABQAAAEwAAABkAAAACQAAAGAAAAD6AAAAbAAAAAkAAABgAAAA8gAAAA0AAAAhAPAAAAAAAAAAAAAAAIA/AAAAAAAAAAAAAIA/AAAAAAAAAAAAAAAAAAAAAAAAAAAAAAAAAAAAAAAAAAAlAAAADAAAAAAAAIAoAAAADAAAAAUAAAAlAAAADAAAAAEAAAAYAAAADAAAAAAAAAASAAAADAAAAAEAAAAeAAAAGAAAAAkAAABgAAAA+wAAAG0AAAAlAAAADAAAAAEAAABUAAAAhAAAAAoAAABgAAAAQAAAAGwAAAABAAAA0XbJQasKyUEKAAAAYAAAAAkAAABMAAAAAAAAAAAAAAAAAAAA//////////9gAAAAQwBvAG4AdABhAGQAbwByAGEAAAAHAAAABwAAAAcAAAAEAAAABgAAAAcAAAAHAAAABAAAAAYAAABLAAAAQAAAADAAAAAFAAAAIAAAAAEAAAABAAAAEAAAAAAAAAAAAAAABAEAAIAAAAAAAAAAAAAAAAQBAACAAAAAJQAAAAwAAAACAAAAJwAAABgAAAAFAAAAAAAAAP///wAAAAAAJQAAAAwAAAAFAAAATAAAAGQAAAAJAAAAcAAAAPoAAAB8AAAACQAAAHAAAADyAAAADQAAACEA8AAAAAAAAAAAAAAAgD8AAAAAAAAAAAAAgD8AAAAAAAAAAAAAAAAAAAAAAAAAAAAAAAAAAAAAAAAAACUAAAAMAAAAAAAAgCgAAAAMAAAABQAAACUAAAAMAAAAAQAAABgAAAAMAAAAAAAAABIAAAAMAAAAAQAAABYAAAAMAAAAAAAAAFQAAAA8AQAACgAAAHAAAAD5AAAAfAAAAAEAAADRdslBqwrJQQoAAABwAAAAKAAAAEwAAAAEAAAACQAAAHAAAAD7AAAAfQAAAJwAAABGAGkAcgBtAGEAZABvACAAcABvAHIAOgAgAE0AQQBSAEkAQQAgAFQARQBSAEUAUwBBACAASQBOAFMARgBSAEEATgAgAEEARwBVAEUAUgBPAAYAAAADAAAABAAAAAkAAAAGAAAABwAAAAcAAAADAAAABwAAAAcAAAAEAAAAAwAAAAMAAAAKAAAABwAAAAcAAAADAAAABwAAAAMAAAAGAAAABgAAAAcAAAAGAAAABgAAAAcAAAADAAAAAwAAAAgAAAAGAAAABgAAAAcAAAAHAAAACAAAAAMAAAAHAAAACAAAAAgAAAAGAAAABwAAAAkAAAAWAAAADAAAAAAAAAAlAAAADAAAAAIAAAAOAAAAFAAAAAAAAAAQAAAAFA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Props1.xml><?xml version="1.0" encoding="utf-8"?>
<ds:datastoreItem xmlns:ds="http://schemas.openxmlformats.org/officeDocument/2006/customXml" ds:itemID="{7E7D553E-48A3-4194-8120-D6EDDCB5C2AC}"/>
</file>

<file path=customXml/itemProps2.xml><?xml version="1.0" encoding="utf-8"?>
<ds:datastoreItem xmlns:ds="http://schemas.openxmlformats.org/officeDocument/2006/customXml" ds:itemID="{F115994C-1919-498D-8342-BB1661B59DDA}"/>
</file>

<file path=customXml/itemProps3.xml><?xml version="1.0" encoding="utf-8"?>
<ds:datastoreItem xmlns:ds="http://schemas.openxmlformats.org/officeDocument/2006/customXml" ds:itemID="{254511F5-CF9A-4A88-A7F8-85108306E5D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46</vt:i4>
      </vt:variant>
      <vt:variant>
        <vt:lpstr>Rangos con nombre</vt:lpstr>
      </vt:variant>
      <vt:variant>
        <vt:i4>37</vt:i4>
      </vt:variant>
    </vt:vector>
  </HeadingPairs>
  <TitlesOfParts>
    <vt:vector size="83" baseType="lpstr">
      <vt:lpstr>Indice</vt:lpstr>
      <vt:lpstr>BG</vt:lpstr>
      <vt:lpstr>ER</vt:lpstr>
      <vt:lpstr>EVPN</vt:lpstr>
      <vt:lpstr>EFE</vt:lpstr>
      <vt:lpstr>Nota1</vt:lpstr>
      <vt:lpstr>Nota 2</vt:lpstr>
      <vt:lpstr>Nota 3</vt:lpstr>
      <vt:lpstr>Nota 4</vt:lpstr>
      <vt:lpstr>Nota 5</vt:lpstr>
      <vt:lpstr>Nota 6</vt:lpstr>
      <vt:lpstr>Nota 7</vt:lpstr>
      <vt:lpstr>Nota 8</vt:lpstr>
      <vt:lpstr>Nota 9</vt:lpstr>
      <vt:lpstr>Nota 10</vt:lpstr>
      <vt:lpstr>Nota 11</vt:lpstr>
      <vt:lpstr>Nota 12</vt:lpstr>
      <vt:lpstr>Nota 13</vt:lpstr>
      <vt:lpstr>Nota 14</vt:lpstr>
      <vt:lpstr>Nota 15</vt:lpstr>
      <vt:lpstr>Nota 16</vt:lpstr>
      <vt:lpstr>Nota 17</vt:lpstr>
      <vt:lpstr>Nota 18</vt:lpstr>
      <vt:lpstr>Nota 19</vt:lpstr>
      <vt:lpstr>Nota 20</vt:lpstr>
      <vt:lpstr> Nota 21</vt:lpstr>
      <vt:lpstr>Nota 22</vt:lpstr>
      <vt:lpstr>Nota 23</vt:lpstr>
      <vt:lpstr>Nota 24</vt:lpstr>
      <vt:lpstr>Nota 25</vt:lpstr>
      <vt:lpstr>Nota 26</vt:lpstr>
      <vt:lpstr>Nota 27</vt:lpstr>
      <vt:lpstr>Nota 28</vt:lpstr>
      <vt:lpstr>Nota 29</vt:lpstr>
      <vt:lpstr>Nota 30</vt:lpstr>
      <vt:lpstr>Nota 31</vt:lpstr>
      <vt:lpstr>Nota 32</vt:lpstr>
      <vt:lpstr>Nota 33</vt:lpstr>
      <vt:lpstr>Nota 34</vt:lpstr>
      <vt:lpstr>Nota 35</vt:lpstr>
      <vt:lpstr>Nota 36</vt:lpstr>
      <vt:lpstr>Nota 37</vt:lpstr>
      <vt:lpstr>Nota 38</vt:lpstr>
      <vt:lpstr>Nota 39</vt:lpstr>
      <vt:lpstr>Nota 40</vt:lpstr>
      <vt:lpstr>Base de Monedas</vt:lpstr>
      <vt:lpstr>'Nota 2'!_Hlk15378568</vt:lpstr>
      <vt:lpstr>' Nota 21'!Área_de_impresión</vt:lpstr>
      <vt:lpstr>BG!Área_de_impresión</vt:lpstr>
      <vt:lpstr>ER!Área_de_impresión</vt:lpstr>
      <vt:lpstr>Indice!Área_de_impresión</vt:lpstr>
      <vt:lpstr>'Nota 11'!Área_de_impresión</vt:lpstr>
      <vt:lpstr>'Nota 12'!Área_de_impresión</vt:lpstr>
      <vt:lpstr>'Nota 14'!Área_de_impresión</vt:lpstr>
      <vt:lpstr>'Nota 15'!Área_de_impresión</vt:lpstr>
      <vt:lpstr>'Nota 16'!Área_de_impresión</vt:lpstr>
      <vt:lpstr>'Nota 17'!Área_de_impresión</vt:lpstr>
      <vt:lpstr>'Nota 18'!Área_de_impresión</vt:lpstr>
      <vt:lpstr>'Nota 2'!Área_de_impresión</vt:lpstr>
      <vt:lpstr>'Nota 20'!Área_de_impresión</vt:lpstr>
      <vt:lpstr>'Nota 22'!Área_de_impresión</vt:lpstr>
      <vt:lpstr>'Nota 23'!Área_de_impresión</vt:lpstr>
      <vt:lpstr>'Nota 24'!Área_de_impresión</vt:lpstr>
      <vt:lpstr>'Nota 25'!Área_de_impresión</vt:lpstr>
      <vt:lpstr>'Nota 26'!Área_de_impresión</vt:lpstr>
      <vt:lpstr>'Nota 27'!Área_de_impresión</vt:lpstr>
      <vt:lpstr>'Nota 28'!Área_de_impresión</vt:lpstr>
      <vt:lpstr>'Nota 29'!Área_de_impresión</vt:lpstr>
      <vt:lpstr>'Nota 30'!Área_de_impresión</vt:lpstr>
      <vt:lpstr>'Nota 31'!Área_de_impresión</vt:lpstr>
      <vt:lpstr>'Nota 32'!Área_de_impresión</vt:lpstr>
      <vt:lpstr>'Nota 33'!Área_de_impresión</vt:lpstr>
      <vt:lpstr>'Nota 34'!Área_de_impresión</vt:lpstr>
      <vt:lpstr>'Nota 36'!Área_de_impresión</vt:lpstr>
      <vt:lpstr>'Nota 37'!Área_de_impresión</vt:lpstr>
      <vt:lpstr>'Nota 38'!Área_de_impresión</vt:lpstr>
      <vt:lpstr>'Nota 39'!Área_de_impresión</vt:lpstr>
      <vt:lpstr>'Nota 40'!Área_de_impresión</vt:lpstr>
      <vt:lpstr>'Nota 5'!Área_de_impresión</vt:lpstr>
      <vt:lpstr>'Nota 6'!Área_de_impresión</vt:lpstr>
      <vt:lpstr>'Nota 8'!Área_de_impresión</vt:lpstr>
      <vt:lpstr>'Nota 9'!Área_de_impresión</vt:lpstr>
      <vt:lpstr>Nota1!Área_de_impresión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CONTABILIDAD</dc:creator>
  <cp:lastModifiedBy>Marite Insfran</cp:lastModifiedBy>
  <cp:lastPrinted>2024-03-25T18:55:01Z</cp:lastPrinted>
  <dcterms:created xsi:type="dcterms:W3CDTF">2019-05-02T15:06:12Z</dcterms:created>
  <dcterms:modified xsi:type="dcterms:W3CDTF">2025-03-26T13:05:35Z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