
<file path=[Content_Types].xml><?xml version="1.0" encoding="utf-8"?>
<Types xmlns="http://schemas.openxmlformats.org/package/2006/content-type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8.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3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Kurosu\Desktop\EEFF-EM-80002592-20250331\"/>
    </mc:Choice>
  </mc:AlternateContent>
  <xr:revisionPtr revIDLastSave="0" documentId="13_ncr:1_{BF263C88-5916-408D-B86A-D2ECAB8F0599}" xr6:coauthVersionLast="47" xr6:coauthVersionMax="47" xr10:uidLastSave="{00000000-0000-0000-0000-000000000000}"/>
  <bookViews>
    <workbookView xWindow="-110" yWindow="-110" windowWidth="19420" windowHeight="10420" tabRatio="500" firstSheet="2" activeTab="7" xr2:uid="{00000000-000D-0000-FFFF-FFFF00000000}"/>
  </bookViews>
  <sheets>
    <sheet name="Indice" sheetId="1" r:id="rId1"/>
    <sheet name="Información General" sheetId="2" r:id="rId2"/>
    <sheet name="BG" sheetId="3" r:id="rId3"/>
    <sheet name="ER" sheetId="4" r:id="rId4"/>
    <sheet name="EVPN" sheetId="5" r:id="rId5"/>
    <sheet name="EFE" sheetId="6" r:id="rId6"/>
    <sheet name="Nota 1" sheetId="7" r:id="rId7"/>
    <sheet name="Nota 2" sheetId="8" r:id="rId8"/>
    <sheet name="Nota 3" sheetId="9" r:id="rId9"/>
    <sheet name="Nota 4" sheetId="10" r:id="rId10"/>
    <sheet name="Nota 5" sheetId="11" r:id="rId11"/>
    <sheet name="Nota 6" sheetId="12" r:id="rId12"/>
    <sheet name="Nota 7" sheetId="13" r:id="rId13"/>
    <sheet name="Nota 8" sheetId="14" r:id="rId14"/>
    <sheet name="Nota 9" sheetId="15" r:id="rId15"/>
    <sheet name="Nota 10" sheetId="16" r:id="rId16"/>
    <sheet name="Nota 11" sheetId="17" r:id="rId17"/>
    <sheet name="Nota 12" sheetId="18" r:id="rId18"/>
    <sheet name="Nota 13" sheetId="19" r:id="rId19"/>
    <sheet name="Nota 14" sheetId="20" r:id="rId20"/>
    <sheet name="Nota 15" sheetId="21" r:id="rId21"/>
    <sheet name="Nota 16" sheetId="22" r:id="rId22"/>
    <sheet name="Nota 17" sheetId="23" r:id="rId23"/>
    <sheet name="Nota 19" sheetId="24" r:id="rId24"/>
    <sheet name="Nota 18" sheetId="25" r:id="rId25"/>
    <sheet name="Nota 20" sheetId="26" r:id="rId26"/>
    <sheet name=" Nota 21" sheetId="27" r:id="rId27"/>
    <sheet name="Nota 22" sheetId="28" r:id="rId28"/>
    <sheet name="Nota 23" sheetId="29" r:id="rId29"/>
    <sheet name="Nota 24" sheetId="30" r:id="rId30"/>
    <sheet name="Nota 25" sheetId="31" r:id="rId31"/>
    <sheet name="Nota 26" sheetId="32" r:id="rId32"/>
    <sheet name="Nota 27" sheetId="33" r:id="rId33"/>
    <sheet name="Nota 28" sheetId="34" r:id="rId34"/>
    <sheet name="Nota 29" sheetId="35" r:id="rId35"/>
    <sheet name="Nota 30" sheetId="36" r:id="rId36"/>
    <sheet name="Nota 31" sheetId="37" r:id="rId37"/>
    <sheet name="Nota 32" sheetId="38" r:id="rId38"/>
    <sheet name="Nota 33" sheetId="39" r:id="rId39"/>
    <sheet name="Nota 34" sheetId="40" r:id="rId40"/>
    <sheet name="Nota 35" sheetId="41" r:id="rId41"/>
    <sheet name="Nota 36" sheetId="42" r:id="rId42"/>
    <sheet name="Nota 37" sheetId="43" r:id="rId43"/>
    <sheet name="Nota 38" sheetId="44" r:id="rId44"/>
    <sheet name="Nota 39" sheetId="45" r:id="rId45"/>
    <sheet name="Nota 40" sheetId="46" r:id="rId46"/>
    <sheet name="Base de Monedas" sheetId="47" r:id="rId47"/>
  </sheets>
  <externalReferences>
    <externalReference r:id="rId48"/>
  </externalReferences>
  <definedNames>
    <definedName name="_Toc82092290" localSheetId="1">'Información General'!$A$75</definedName>
    <definedName name="_xlnm.Print_Area" localSheetId="3">ER!$A$1:$D$47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8" l="1"/>
  <c r="H53" i="8"/>
  <c r="H47" i="8"/>
  <c r="D31" i="8"/>
  <c r="D39" i="8"/>
  <c r="D47" i="8"/>
  <c r="W48" i="5"/>
  <c r="C17" i="9"/>
  <c r="D107" i="46"/>
  <c r="C107" i="46"/>
  <c r="D92" i="46"/>
  <c r="C92" i="46"/>
  <c r="B2" i="46"/>
  <c r="A1" i="45"/>
  <c r="C25" i="44"/>
  <c r="C27" i="44" s="1"/>
  <c r="C23" i="44"/>
  <c r="B23" i="44"/>
  <c r="B25" i="44" s="1"/>
  <c r="B27" i="44" s="1"/>
  <c r="C11" i="44"/>
  <c r="B11" i="44"/>
  <c r="A1" i="44"/>
  <c r="A10" i="43"/>
  <c r="A6" i="43"/>
  <c r="A1" i="43"/>
  <c r="A15" i="42"/>
  <c r="A8" i="42"/>
  <c r="A1" i="42"/>
  <c r="C7" i="41"/>
  <c r="B7" i="41"/>
  <c r="A1" i="41"/>
  <c r="C11" i="40"/>
  <c r="B11" i="40"/>
  <c r="C7" i="40"/>
  <c r="B7" i="40"/>
  <c r="A1" i="40"/>
  <c r="C9" i="39"/>
  <c r="B9" i="39"/>
  <c r="C7" i="39"/>
  <c r="B7" i="39"/>
  <c r="A1" i="39"/>
  <c r="C9" i="38"/>
  <c r="B9" i="38"/>
  <c r="C7" i="38"/>
  <c r="B7" i="38"/>
  <c r="A1" i="38"/>
  <c r="C9" i="37"/>
  <c r="B9" i="37"/>
  <c r="C7" i="37"/>
  <c r="B7" i="37"/>
  <c r="A1" i="37"/>
  <c r="C9" i="36"/>
  <c r="B9" i="36"/>
  <c r="C7" i="36"/>
  <c r="B7" i="36"/>
  <c r="A1" i="36"/>
  <c r="G18" i="35"/>
  <c r="F18" i="35"/>
  <c r="C14" i="35"/>
  <c r="B14" i="35"/>
  <c r="G8" i="35"/>
  <c r="F8" i="35"/>
  <c r="C8" i="35"/>
  <c r="B8" i="35"/>
  <c r="A1" i="35"/>
  <c r="C16" i="34"/>
  <c r="B16" i="34"/>
  <c r="G11" i="34"/>
  <c r="F11" i="34"/>
  <c r="G8" i="34"/>
  <c r="F8" i="34"/>
  <c r="C8" i="34"/>
  <c r="B8" i="34"/>
  <c r="A1" i="34"/>
  <c r="F77" i="33"/>
  <c r="C77" i="33"/>
  <c r="G76" i="33"/>
  <c r="D76" i="33"/>
  <c r="G75" i="33"/>
  <c r="D75" i="33"/>
  <c r="G74" i="33"/>
  <c r="D74" i="33"/>
  <c r="G73" i="33"/>
  <c r="D73" i="33"/>
  <c r="G71" i="33"/>
  <c r="D71" i="33"/>
  <c r="G70" i="33"/>
  <c r="D70" i="33"/>
  <c r="G69" i="33"/>
  <c r="D69" i="33"/>
  <c r="G68" i="33"/>
  <c r="D68" i="33"/>
  <c r="G67" i="33"/>
  <c r="D67" i="33"/>
  <c r="G66" i="33"/>
  <c r="D66" i="33"/>
  <c r="G65" i="33"/>
  <c r="D65" i="33"/>
  <c r="G64" i="33"/>
  <c r="D64" i="33"/>
  <c r="G63" i="33"/>
  <c r="D63" i="33"/>
  <c r="G62" i="33"/>
  <c r="D62" i="33"/>
  <c r="G61" i="33"/>
  <c r="D61" i="33"/>
  <c r="G59" i="33"/>
  <c r="D59" i="33"/>
  <c r="B59" i="33"/>
  <c r="G56" i="33"/>
  <c r="D56" i="33"/>
  <c r="G55" i="33"/>
  <c r="B55" i="33"/>
  <c r="D55" i="33" s="1"/>
  <c r="G54" i="33"/>
  <c r="D54" i="33"/>
  <c r="G52" i="33"/>
  <c r="E52" i="33"/>
  <c r="D52" i="33"/>
  <c r="B52" i="33"/>
  <c r="G51" i="33"/>
  <c r="D51" i="33"/>
  <c r="G50" i="33"/>
  <c r="D50" i="33"/>
  <c r="G49" i="33"/>
  <c r="D49" i="33"/>
  <c r="G48" i="33"/>
  <c r="D48" i="33"/>
  <c r="G47" i="33"/>
  <c r="D47" i="33"/>
  <c r="G46" i="33"/>
  <c r="D46" i="33"/>
  <c r="G45" i="33"/>
  <c r="D45" i="33"/>
  <c r="G44" i="33"/>
  <c r="D44" i="33"/>
  <c r="G43" i="33"/>
  <c r="D43" i="33"/>
  <c r="G42" i="33"/>
  <c r="D42" i="33"/>
  <c r="G39" i="33"/>
  <c r="D39" i="33"/>
  <c r="G38" i="33"/>
  <c r="D38" i="33"/>
  <c r="G37" i="33"/>
  <c r="D37" i="33"/>
  <c r="G36" i="33"/>
  <c r="D36" i="33"/>
  <c r="G35" i="33"/>
  <c r="D35" i="33"/>
  <c r="G34" i="33"/>
  <c r="D34" i="33"/>
  <c r="G33" i="33"/>
  <c r="D33" i="33"/>
  <c r="G32" i="33"/>
  <c r="D32" i="33"/>
  <c r="G31" i="33"/>
  <c r="D31" i="33"/>
  <c r="G30" i="33"/>
  <c r="D30" i="33"/>
  <c r="G29" i="33"/>
  <c r="D29" i="33"/>
  <c r="G28" i="33"/>
  <c r="D28" i="33"/>
  <c r="G27" i="33"/>
  <c r="D27" i="33"/>
  <c r="G26" i="33"/>
  <c r="D26" i="33"/>
  <c r="G25" i="33"/>
  <c r="D25" i="33"/>
  <c r="G24" i="33"/>
  <c r="D24" i="33"/>
  <c r="D23" i="33"/>
  <c r="G22" i="33"/>
  <c r="D22" i="33"/>
  <c r="G21" i="33"/>
  <c r="D21" i="33"/>
  <c r="G20" i="33"/>
  <c r="D20" i="33"/>
  <c r="G19" i="33"/>
  <c r="D19" i="33"/>
  <c r="G18" i="33"/>
  <c r="D18" i="33"/>
  <c r="G17" i="33"/>
  <c r="B17" i="33"/>
  <c r="D17" i="33" s="1"/>
  <c r="G16" i="33"/>
  <c r="E16" i="33"/>
  <c r="G23" i="33" s="1"/>
  <c r="B16" i="33"/>
  <c r="D16" i="33" s="1"/>
  <c r="G15" i="33"/>
  <c r="B15" i="33"/>
  <c r="D15" i="33" s="1"/>
  <c r="G14" i="33"/>
  <c r="D14" i="33"/>
  <c r="B14" i="33"/>
  <c r="G13" i="33"/>
  <c r="E13" i="33"/>
  <c r="E77" i="33" s="1"/>
  <c r="D16" i="4" s="1"/>
  <c r="D13" i="33"/>
  <c r="B13" i="33"/>
  <c r="F11" i="33"/>
  <c r="C11" i="33"/>
  <c r="A1" i="33"/>
  <c r="C14" i="32"/>
  <c r="B14" i="32"/>
  <c r="C9" i="32"/>
  <c r="B9" i="32"/>
  <c r="A1" i="32"/>
  <c r="C9" i="31"/>
  <c r="B9" i="31"/>
  <c r="B7" i="31"/>
  <c r="C5" i="31"/>
  <c r="B5" i="31"/>
  <c r="A1" i="31"/>
  <c r="C7" i="30"/>
  <c r="B7" i="30"/>
  <c r="A1" i="30"/>
  <c r="C10" i="29"/>
  <c r="B10" i="29"/>
  <c r="C7" i="29"/>
  <c r="B7" i="29"/>
  <c r="A1" i="29"/>
  <c r="C7" i="28"/>
  <c r="B7" i="28"/>
  <c r="A1" i="28"/>
  <c r="C20" i="27"/>
  <c r="B20" i="27"/>
  <c r="C7" i="27"/>
  <c r="B7" i="27"/>
  <c r="A1" i="27"/>
  <c r="C11" i="26"/>
  <c r="B11" i="26"/>
  <c r="C6" i="26"/>
  <c r="B6" i="26"/>
  <c r="A1" i="26"/>
  <c r="C15" i="25"/>
  <c r="B15" i="25"/>
  <c r="C7" i="25"/>
  <c r="B7" i="25"/>
  <c r="A1" i="25"/>
  <c r="C14" i="24"/>
  <c r="B14" i="24"/>
  <c r="G8" i="24"/>
  <c r="F8" i="24"/>
  <c r="G6" i="24"/>
  <c r="F6" i="24"/>
  <c r="C6" i="24"/>
  <c r="B6" i="24"/>
  <c r="A1" i="24"/>
  <c r="C10" i="23"/>
  <c r="B10" i="23"/>
  <c r="C8" i="23"/>
  <c r="B8" i="23"/>
  <c r="A1" i="23"/>
  <c r="C10" i="22"/>
  <c r="B8" i="22"/>
  <c r="B10" i="22" s="1"/>
  <c r="F35" i="3" s="1"/>
  <c r="C7" i="22"/>
  <c r="B7" i="22"/>
  <c r="A1" i="22"/>
  <c r="C13" i="21"/>
  <c r="B13" i="21"/>
  <c r="C8" i="21"/>
  <c r="B8" i="21"/>
  <c r="A1" i="21"/>
  <c r="J390" i="20"/>
  <c r="K389" i="20"/>
  <c r="J389" i="20"/>
  <c r="E389" i="20"/>
  <c r="D389" i="20"/>
  <c r="J388" i="20"/>
  <c r="D388" i="20"/>
  <c r="J387" i="20"/>
  <c r="D387" i="20"/>
  <c r="J386" i="20"/>
  <c r="D386" i="20"/>
  <c r="J385" i="20"/>
  <c r="D385" i="20"/>
  <c r="J384" i="20"/>
  <c r="D384" i="20"/>
  <c r="J383" i="20"/>
  <c r="D383" i="20"/>
  <c r="J382" i="20"/>
  <c r="D382" i="20"/>
  <c r="J381" i="20"/>
  <c r="D381" i="20"/>
  <c r="J380" i="20"/>
  <c r="D380" i="20"/>
  <c r="J379" i="20"/>
  <c r="D379" i="20"/>
  <c r="J378" i="20"/>
  <c r="D378" i="20"/>
  <c r="J377" i="20"/>
  <c r="D377" i="20"/>
  <c r="J376" i="20"/>
  <c r="D376" i="20"/>
  <c r="J375" i="20"/>
  <c r="D375" i="20"/>
  <c r="J374" i="20"/>
  <c r="D374" i="20"/>
  <c r="J373" i="20"/>
  <c r="D373" i="20"/>
  <c r="J372" i="20"/>
  <c r="D372" i="20"/>
  <c r="J371" i="20"/>
  <c r="D371" i="20"/>
  <c r="J370" i="20"/>
  <c r="D370" i="20"/>
  <c r="J369" i="20"/>
  <c r="D369" i="20"/>
  <c r="J368" i="20"/>
  <c r="D368" i="20"/>
  <c r="J367" i="20"/>
  <c r="D367" i="20"/>
  <c r="J366" i="20"/>
  <c r="D366" i="20"/>
  <c r="J365" i="20"/>
  <c r="D365" i="20"/>
  <c r="J364" i="20"/>
  <c r="D364" i="20"/>
  <c r="J363" i="20"/>
  <c r="D363" i="20"/>
  <c r="J362" i="20"/>
  <c r="D362" i="20"/>
  <c r="J361" i="20"/>
  <c r="D361" i="20"/>
  <c r="J360" i="20"/>
  <c r="D360" i="20"/>
  <c r="J359" i="20"/>
  <c r="D359" i="20"/>
  <c r="J358" i="20"/>
  <c r="D358" i="20"/>
  <c r="J357" i="20"/>
  <c r="D357" i="20"/>
  <c r="J356" i="20"/>
  <c r="D356" i="20"/>
  <c r="J355" i="20"/>
  <c r="D355" i="20"/>
  <c r="J354" i="20"/>
  <c r="D354" i="20"/>
  <c r="J353" i="20"/>
  <c r="D353" i="20"/>
  <c r="J352" i="20"/>
  <c r="D352" i="20"/>
  <c r="J351" i="20"/>
  <c r="D351" i="20"/>
  <c r="J350" i="20"/>
  <c r="D350" i="20"/>
  <c r="J349" i="20"/>
  <c r="D349" i="20"/>
  <c r="J348" i="20"/>
  <c r="D348" i="20"/>
  <c r="J347" i="20"/>
  <c r="D347" i="20"/>
  <c r="J346" i="20"/>
  <c r="D346" i="20"/>
  <c r="J345" i="20"/>
  <c r="D345" i="20"/>
  <c r="J343" i="20"/>
  <c r="D343" i="20"/>
  <c r="J342" i="20"/>
  <c r="D342" i="20"/>
  <c r="J341" i="20"/>
  <c r="D341" i="20"/>
  <c r="J340" i="20"/>
  <c r="D340" i="20"/>
  <c r="J339" i="20"/>
  <c r="D339" i="20"/>
  <c r="J338" i="20"/>
  <c r="D338" i="20"/>
  <c r="J337" i="20"/>
  <c r="D337" i="20"/>
  <c r="J336" i="20"/>
  <c r="D336" i="20"/>
  <c r="J335" i="20"/>
  <c r="D335" i="20"/>
  <c r="J334" i="20"/>
  <c r="D334" i="20"/>
  <c r="J333" i="20"/>
  <c r="D333" i="20"/>
  <c r="J332" i="20"/>
  <c r="D332" i="20"/>
  <c r="J331" i="20"/>
  <c r="D331" i="20"/>
  <c r="J330" i="20"/>
  <c r="D330" i="20"/>
  <c r="J329" i="20"/>
  <c r="D329" i="20"/>
  <c r="J328" i="20"/>
  <c r="D328" i="20"/>
  <c r="J327" i="20"/>
  <c r="D327" i="20"/>
  <c r="J326" i="20"/>
  <c r="D326" i="20"/>
  <c r="J325" i="20"/>
  <c r="D325" i="20"/>
  <c r="J324" i="20"/>
  <c r="D324" i="20"/>
  <c r="J323" i="20"/>
  <c r="D323" i="20"/>
  <c r="J322" i="20"/>
  <c r="D322" i="20"/>
  <c r="J321" i="20"/>
  <c r="D321" i="20"/>
  <c r="J320" i="20"/>
  <c r="D320" i="20"/>
  <c r="J319" i="20"/>
  <c r="D319" i="20"/>
  <c r="J318" i="20"/>
  <c r="D318" i="20"/>
  <c r="J317" i="20"/>
  <c r="D317" i="20"/>
  <c r="J316" i="20"/>
  <c r="D316" i="20"/>
  <c r="J315" i="20"/>
  <c r="D315" i="20"/>
  <c r="J314" i="20"/>
  <c r="D314" i="20"/>
  <c r="J313" i="20"/>
  <c r="D313" i="20"/>
  <c r="J312" i="20"/>
  <c r="D312" i="20"/>
  <c r="J309" i="20"/>
  <c r="D309" i="20"/>
  <c r="J308" i="20"/>
  <c r="D308" i="20"/>
  <c r="J307" i="20"/>
  <c r="D307" i="20"/>
  <c r="J306" i="20"/>
  <c r="D306" i="20"/>
  <c r="J305" i="20"/>
  <c r="D305" i="20"/>
  <c r="J304" i="20"/>
  <c r="D304" i="20"/>
  <c r="J303" i="20"/>
  <c r="D303" i="20"/>
  <c r="J302" i="20"/>
  <c r="D302" i="20"/>
  <c r="J301" i="20"/>
  <c r="D301" i="20"/>
  <c r="J300" i="20"/>
  <c r="D300" i="20"/>
  <c r="J299" i="20"/>
  <c r="D299" i="20"/>
  <c r="J298" i="20"/>
  <c r="D298" i="20"/>
  <c r="J297" i="20"/>
  <c r="D297" i="20"/>
  <c r="J296" i="20"/>
  <c r="D296" i="20"/>
  <c r="J294" i="20"/>
  <c r="D294" i="20"/>
  <c r="J293" i="20"/>
  <c r="D293" i="20"/>
  <c r="J292" i="20"/>
  <c r="D292" i="20"/>
  <c r="J291" i="20"/>
  <c r="D291" i="20"/>
  <c r="J289" i="20"/>
  <c r="D289" i="20"/>
  <c r="J288" i="20"/>
  <c r="D288" i="20"/>
  <c r="J287" i="20"/>
  <c r="J286" i="20"/>
  <c r="J285" i="20"/>
  <c r="D285" i="20"/>
  <c r="J282" i="20"/>
  <c r="D282" i="20"/>
  <c r="K278" i="20"/>
  <c r="E278" i="20"/>
  <c r="D278" i="20"/>
  <c r="J277" i="20"/>
  <c r="D277" i="20"/>
  <c r="J276" i="20"/>
  <c r="D276" i="20"/>
  <c r="J275" i="20"/>
  <c r="D275" i="20"/>
  <c r="J274" i="20"/>
  <c r="D274" i="20"/>
  <c r="J273" i="20"/>
  <c r="D273" i="20"/>
  <c r="J272" i="20"/>
  <c r="D272" i="20"/>
  <c r="J271" i="20"/>
  <c r="D271" i="20"/>
  <c r="J270" i="20"/>
  <c r="D270" i="20"/>
  <c r="J269" i="20"/>
  <c r="D269" i="20"/>
  <c r="J268" i="20"/>
  <c r="D268" i="20"/>
  <c r="J267" i="20"/>
  <c r="D267" i="20"/>
  <c r="J266" i="20"/>
  <c r="J265" i="20"/>
  <c r="J263" i="20"/>
  <c r="D263" i="20"/>
  <c r="J262" i="20"/>
  <c r="D262" i="20"/>
  <c r="J260" i="20"/>
  <c r="D260" i="20"/>
  <c r="J259" i="20"/>
  <c r="D259" i="20"/>
  <c r="J258" i="20"/>
  <c r="D258" i="20"/>
  <c r="J257" i="20"/>
  <c r="D257" i="20"/>
  <c r="J256" i="20"/>
  <c r="D256" i="20"/>
  <c r="J255" i="20"/>
  <c r="D255" i="20"/>
  <c r="J254" i="20"/>
  <c r="D254" i="20"/>
  <c r="J253" i="20"/>
  <c r="D253" i="20"/>
  <c r="J252" i="20"/>
  <c r="D252" i="20"/>
  <c r="J251" i="20"/>
  <c r="D251" i="20"/>
  <c r="J250" i="20"/>
  <c r="D250" i="20"/>
  <c r="J249" i="20"/>
  <c r="D249" i="20"/>
  <c r="J248" i="20"/>
  <c r="D248" i="20"/>
  <c r="J247" i="20"/>
  <c r="D247" i="20"/>
  <c r="J246" i="20"/>
  <c r="D246" i="20"/>
  <c r="J245" i="20"/>
  <c r="D245" i="20"/>
  <c r="J244" i="20"/>
  <c r="D244" i="20"/>
  <c r="J243" i="20"/>
  <c r="D243" i="20"/>
  <c r="J242" i="20"/>
  <c r="D242" i="20"/>
  <c r="J241" i="20"/>
  <c r="D241" i="20"/>
  <c r="J240" i="20"/>
  <c r="D240" i="20"/>
  <c r="J239" i="20"/>
  <c r="D239" i="20"/>
  <c r="J238" i="20"/>
  <c r="D238" i="20"/>
  <c r="J237" i="20"/>
  <c r="D237" i="20"/>
  <c r="J236" i="20"/>
  <c r="D236" i="20"/>
  <c r="J235" i="20"/>
  <c r="D235" i="20"/>
  <c r="J234" i="20"/>
  <c r="D234" i="20"/>
  <c r="J233" i="20"/>
  <c r="D233" i="20"/>
  <c r="J232" i="20"/>
  <c r="D232" i="20"/>
  <c r="J231" i="20"/>
  <c r="D231" i="20"/>
  <c r="J230" i="20"/>
  <c r="D230" i="20"/>
  <c r="J229" i="20"/>
  <c r="D229" i="20"/>
  <c r="J228" i="20"/>
  <c r="D228" i="20"/>
  <c r="J227" i="20"/>
  <c r="D227" i="20"/>
  <c r="J226" i="20"/>
  <c r="D226" i="20"/>
  <c r="J225" i="20"/>
  <c r="D225" i="20"/>
  <c r="J224" i="20"/>
  <c r="D224" i="20"/>
  <c r="J223" i="20"/>
  <c r="D223" i="20"/>
  <c r="J222" i="20"/>
  <c r="D222" i="20"/>
  <c r="J221" i="20"/>
  <c r="D221" i="20"/>
  <c r="J220" i="20"/>
  <c r="D220" i="20"/>
  <c r="J219" i="20"/>
  <c r="D219" i="20"/>
  <c r="J218" i="20"/>
  <c r="D218" i="20"/>
  <c r="J217" i="20"/>
  <c r="D217" i="20"/>
  <c r="J216" i="20"/>
  <c r="D216" i="20"/>
  <c r="J215" i="20"/>
  <c r="D215" i="20"/>
  <c r="J214" i="20"/>
  <c r="D214" i="20"/>
  <c r="J213" i="20"/>
  <c r="D213" i="20"/>
  <c r="J212" i="20"/>
  <c r="D212" i="20"/>
  <c r="J211" i="20"/>
  <c r="D211" i="20"/>
  <c r="J210" i="20"/>
  <c r="D210" i="20"/>
  <c r="J209" i="20"/>
  <c r="D209" i="20"/>
  <c r="J208" i="20"/>
  <c r="D208" i="20"/>
  <c r="J207" i="20"/>
  <c r="D207" i="20"/>
  <c r="J206" i="20"/>
  <c r="D206" i="20"/>
  <c r="J205" i="20"/>
  <c r="D205" i="20"/>
  <c r="J204" i="20"/>
  <c r="D204" i="20"/>
  <c r="J203" i="20"/>
  <c r="D203" i="20"/>
  <c r="J202" i="20"/>
  <c r="D202" i="20"/>
  <c r="J201" i="20"/>
  <c r="D201" i="20"/>
  <c r="J200" i="20"/>
  <c r="D200" i="20"/>
  <c r="J199" i="20"/>
  <c r="D199" i="20"/>
  <c r="J198" i="20"/>
  <c r="D198" i="20"/>
  <c r="J197" i="20"/>
  <c r="D197" i="20"/>
  <c r="J196" i="20"/>
  <c r="D196" i="20"/>
  <c r="J195" i="20"/>
  <c r="D195" i="20"/>
  <c r="J194" i="20"/>
  <c r="D194" i="20"/>
  <c r="J193" i="20"/>
  <c r="D193" i="20"/>
  <c r="J192" i="20"/>
  <c r="D192" i="20"/>
  <c r="J191" i="20"/>
  <c r="D191" i="20"/>
  <c r="J190" i="20"/>
  <c r="D190" i="20"/>
  <c r="J189" i="20"/>
  <c r="D189" i="20"/>
  <c r="J188" i="20"/>
  <c r="D188" i="20"/>
  <c r="J187" i="20"/>
  <c r="D187" i="20"/>
  <c r="J186" i="20"/>
  <c r="D186" i="20"/>
  <c r="J185" i="20"/>
  <c r="D185" i="20"/>
  <c r="J184" i="20"/>
  <c r="D184" i="20"/>
  <c r="J183" i="20"/>
  <c r="D183" i="20"/>
  <c r="J182" i="20"/>
  <c r="D182" i="20"/>
  <c r="J181" i="20"/>
  <c r="D181" i="20"/>
  <c r="J180" i="20"/>
  <c r="D180" i="20"/>
  <c r="J179" i="20"/>
  <c r="D179" i="20"/>
  <c r="J178" i="20"/>
  <c r="D178" i="20"/>
  <c r="J177" i="20"/>
  <c r="D177" i="20"/>
  <c r="J176" i="20"/>
  <c r="D176" i="20"/>
  <c r="J175" i="20"/>
  <c r="D175" i="20"/>
  <c r="J174" i="20"/>
  <c r="D174" i="20"/>
  <c r="J173" i="20"/>
  <c r="D173" i="20"/>
  <c r="J172" i="20"/>
  <c r="D172" i="20"/>
  <c r="J171" i="20"/>
  <c r="D171" i="20"/>
  <c r="J170" i="20"/>
  <c r="D170" i="20"/>
  <c r="J169" i="20"/>
  <c r="D169" i="20"/>
  <c r="J168" i="20"/>
  <c r="D168" i="20"/>
  <c r="J167" i="20"/>
  <c r="D167" i="20"/>
  <c r="J166" i="20"/>
  <c r="D166" i="20"/>
  <c r="J165" i="20"/>
  <c r="J164" i="20"/>
  <c r="J163" i="20"/>
  <c r="D163" i="20"/>
  <c r="J162" i="20"/>
  <c r="D162" i="20"/>
  <c r="J161" i="20"/>
  <c r="D161" i="20"/>
  <c r="J160" i="20"/>
  <c r="D160" i="20"/>
  <c r="J159" i="20"/>
  <c r="D159" i="20"/>
  <c r="J158" i="20"/>
  <c r="D158" i="20"/>
  <c r="J157" i="20"/>
  <c r="D157" i="20"/>
  <c r="J156" i="20"/>
  <c r="D156" i="20"/>
  <c r="J155" i="20"/>
  <c r="D155" i="20"/>
  <c r="J154" i="20"/>
  <c r="D154" i="20"/>
  <c r="J153" i="20"/>
  <c r="D153" i="20"/>
  <c r="J152" i="20"/>
  <c r="D152" i="20"/>
  <c r="J151" i="20"/>
  <c r="D151" i="20"/>
  <c r="J150" i="20"/>
  <c r="D150" i="20"/>
  <c r="J149" i="20"/>
  <c r="D149" i="20"/>
  <c r="J148" i="20"/>
  <c r="D148" i="20"/>
  <c r="J147" i="20"/>
  <c r="D147" i="20"/>
  <c r="J146" i="20"/>
  <c r="D146" i="20"/>
  <c r="J145" i="20"/>
  <c r="D145" i="20"/>
  <c r="J144" i="20"/>
  <c r="D144" i="20"/>
  <c r="J143" i="20"/>
  <c r="D143" i="20"/>
  <c r="J142" i="20"/>
  <c r="D142" i="20"/>
  <c r="J141" i="20"/>
  <c r="D141" i="20"/>
  <c r="J140" i="20"/>
  <c r="D140" i="20"/>
  <c r="J139" i="20"/>
  <c r="D139" i="20"/>
  <c r="J138" i="20"/>
  <c r="D138" i="20"/>
  <c r="J137" i="20"/>
  <c r="D137" i="20"/>
  <c r="J136" i="20"/>
  <c r="D136" i="20"/>
  <c r="J135" i="20"/>
  <c r="D135" i="20"/>
  <c r="J134" i="20"/>
  <c r="D134" i="20"/>
  <c r="J133" i="20"/>
  <c r="D133" i="20"/>
  <c r="J132" i="20"/>
  <c r="D132" i="20"/>
  <c r="J131" i="20"/>
  <c r="D131" i="20"/>
  <c r="J130" i="20"/>
  <c r="D130" i="20"/>
  <c r="J129" i="20"/>
  <c r="D129" i="20"/>
  <c r="J128" i="20"/>
  <c r="D128" i="20"/>
  <c r="J127" i="20"/>
  <c r="D127" i="20"/>
  <c r="J126" i="20"/>
  <c r="D126" i="20"/>
  <c r="J125" i="20"/>
  <c r="D125" i="20"/>
  <c r="J124" i="20"/>
  <c r="D124" i="20"/>
  <c r="J123" i="20"/>
  <c r="D123" i="20"/>
  <c r="J122" i="20"/>
  <c r="D122" i="20"/>
  <c r="J121" i="20"/>
  <c r="D121" i="20"/>
  <c r="J120" i="20"/>
  <c r="D120" i="20"/>
  <c r="J119" i="20"/>
  <c r="D119" i="20"/>
  <c r="J118" i="20"/>
  <c r="D118" i="20"/>
  <c r="J117" i="20"/>
  <c r="J116" i="20"/>
  <c r="J115" i="20"/>
  <c r="J114" i="20"/>
  <c r="J113" i="20"/>
  <c r="J112" i="20"/>
  <c r="J111" i="20"/>
  <c r="J110" i="20"/>
  <c r="J109" i="20"/>
  <c r="J108" i="20"/>
  <c r="J107" i="20"/>
  <c r="J106" i="20"/>
  <c r="J105" i="20"/>
  <c r="J104" i="20"/>
  <c r="J103" i="20"/>
  <c r="J102" i="20"/>
  <c r="J101" i="20"/>
  <c r="J100" i="20"/>
  <c r="J99" i="20"/>
  <c r="J98" i="20"/>
  <c r="J97" i="20"/>
  <c r="J96" i="20"/>
  <c r="J93" i="20"/>
  <c r="D93" i="20"/>
  <c r="J92" i="20"/>
  <c r="D92" i="20"/>
  <c r="J91" i="20"/>
  <c r="D91" i="20"/>
  <c r="J90" i="20"/>
  <c r="D90" i="20"/>
  <c r="J89" i="20"/>
  <c r="D89" i="20"/>
  <c r="J88" i="20"/>
  <c r="D88" i="20"/>
  <c r="J87" i="20"/>
  <c r="D87" i="20"/>
  <c r="J86" i="20"/>
  <c r="D86" i="20"/>
  <c r="J85" i="20"/>
  <c r="D85" i="20"/>
  <c r="J84" i="20"/>
  <c r="D84" i="20"/>
  <c r="J83" i="20"/>
  <c r="D83" i="20"/>
  <c r="J82" i="20"/>
  <c r="D82" i="20"/>
  <c r="J81" i="20"/>
  <c r="D81" i="20"/>
  <c r="J80" i="20"/>
  <c r="D80" i="20"/>
  <c r="J79" i="20"/>
  <c r="D79" i="20"/>
  <c r="J78" i="20"/>
  <c r="D78" i="20"/>
  <c r="J77" i="20"/>
  <c r="D77" i="20"/>
  <c r="J76" i="20"/>
  <c r="D76" i="20"/>
  <c r="J75" i="20"/>
  <c r="D75" i="20"/>
  <c r="J74" i="20"/>
  <c r="D74" i="20"/>
  <c r="J73" i="20"/>
  <c r="D73" i="20"/>
  <c r="J72" i="20"/>
  <c r="D72" i="20"/>
  <c r="J71" i="20"/>
  <c r="D71" i="20"/>
  <c r="J70" i="20"/>
  <c r="D70" i="20"/>
  <c r="J69" i="20"/>
  <c r="D69" i="20"/>
  <c r="J68" i="20"/>
  <c r="D68" i="20"/>
  <c r="J67" i="20"/>
  <c r="D67" i="20"/>
  <c r="J66" i="20"/>
  <c r="D66" i="20"/>
  <c r="J65" i="20"/>
  <c r="D65" i="20"/>
  <c r="J64" i="20"/>
  <c r="D64" i="20"/>
  <c r="J63" i="20"/>
  <c r="D63" i="20"/>
  <c r="J62" i="20"/>
  <c r="D62" i="20"/>
  <c r="J61" i="20"/>
  <c r="D61" i="20"/>
  <c r="J60" i="20"/>
  <c r="D60" i="20"/>
  <c r="J59" i="20"/>
  <c r="D59" i="20"/>
  <c r="J58" i="20"/>
  <c r="D58" i="20"/>
  <c r="J57" i="20"/>
  <c r="D57" i="20"/>
  <c r="J56" i="20"/>
  <c r="D56" i="20"/>
  <c r="J55" i="20"/>
  <c r="D55" i="20"/>
  <c r="J54" i="20"/>
  <c r="D54" i="20"/>
  <c r="J53" i="20"/>
  <c r="D53" i="20"/>
  <c r="J52" i="20"/>
  <c r="D52" i="20"/>
  <c r="J48" i="20"/>
  <c r="D48" i="20"/>
  <c r="J47" i="20"/>
  <c r="D47" i="20"/>
  <c r="J46" i="20"/>
  <c r="D46" i="20"/>
  <c r="J45" i="20"/>
  <c r="D45" i="20"/>
  <c r="J44" i="20"/>
  <c r="D44" i="20"/>
  <c r="J43" i="20"/>
  <c r="D43" i="20"/>
  <c r="J42" i="20"/>
  <c r="D42" i="20"/>
  <c r="J41" i="20"/>
  <c r="D41" i="20"/>
  <c r="J40" i="20"/>
  <c r="D40" i="20"/>
  <c r="J39" i="20"/>
  <c r="D39" i="20"/>
  <c r="J38" i="20"/>
  <c r="D38" i="20"/>
  <c r="J37" i="20"/>
  <c r="D37" i="20"/>
  <c r="J36" i="20"/>
  <c r="D36" i="20"/>
  <c r="J35" i="20"/>
  <c r="D35" i="20"/>
  <c r="J34" i="20"/>
  <c r="D34" i="20"/>
  <c r="J33" i="20"/>
  <c r="D33" i="20"/>
  <c r="J32" i="20"/>
  <c r="D32" i="20"/>
  <c r="J31" i="20"/>
  <c r="D31" i="20"/>
  <c r="J30" i="20"/>
  <c r="D30" i="20"/>
  <c r="J29" i="20"/>
  <c r="D29" i="20"/>
  <c r="J28" i="20"/>
  <c r="D28" i="20"/>
  <c r="J27" i="20"/>
  <c r="D27" i="20"/>
  <c r="J26" i="20"/>
  <c r="D26" i="20"/>
  <c r="J25" i="20"/>
  <c r="D25" i="20"/>
  <c r="J24" i="20"/>
  <c r="D24" i="20"/>
  <c r="J23" i="20"/>
  <c r="D23" i="20"/>
  <c r="J22" i="20"/>
  <c r="D22" i="20"/>
  <c r="J21" i="20"/>
  <c r="D21" i="20"/>
  <c r="J20" i="20"/>
  <c r="D20" i="20"/>
  <c r="J19" i="20"/>
  <c r="D19" i="20"/>
  <c r="J18" i="20"/>
  <c r="D18" i="20"/>
  <c r="J17" i="20"/>
  <c r="D17" i="20"/>
  <c r="J16" i="20"/>
  <c r="D16" i="20"/>
  <c r="J15" i="20"/>
  <c r="D15" i="20"/>
  <c r="J14" i="20"/>
  <c r="D14" i="20"/>
  <c r="J13" i="20"/>
  <c r="D13" i="20"/>
  <c r="J12" i="20"/>
  <c r="J10" i="20"/>
  <c r="D10" i="20"/>
  <c r="A1" i="20"/>
  <c r="E21" i="19"/>
  <c r="D21" i="19"/>
  <c r="C20" i="19"/>
  <c r="E19" i="19"/>
  <c r="D19" i="19"/>
  <c r="E15" i="19"/>
  <c r="G32" i="3" s="1"/>
  <c r="G39" i="3" s="1"/>
  <c r="D15" i="19"/>
  <c r="F32" i="3" s="1"/>
  <c r="C14" i="19"/>
  <c r="C13" i="19"/>
  <c r="D12" i="19"/>
  <c r="C12" i="19"/>
  <c r="D11" i="19"/>
  <c r="C11" i="19"/>
  <c r="C10" i="19"/>
  <c r="C9" i="19"/>
  <c r="E8" i="19"/>
  <c r="D8" i="19"/>
  <c r="A1" i="19"/>
  <c r="C9" i="18"/>
  <c r="B9" i="18"/>
  <c r="F27" i="3" s="1"/>
  <c r="C7" i="18"/>
  <c r="B7" i="18"/>
  <c r="A1" i="18"/>
  <c r="C8" i="17"/>
  <c r="B8" i="17"/>
  <c r="F26" i="3" s="1"/>
  <c r="C6" i="17"/>
  <c r="B6" i="17"/>
  <c r="A1" i="17"/>
  <c r="C15" i="16"/>
  <c r="C12" i="16"/>
  <c r="B12" i="16"/>
  <c r="C9" i="16"/>
  <c r="C16" i="16" s="1"/>
  <c r="G25" i="3" s="1"/>
  <c r="B9" i="16"/>
  <c r="C6" i="16"/>
  <c r="B6" i="16"/>
  <c r="A1" i="16"/>
  <c r="M27" i="15"/>
  <c r="G24" i="3" s="1"/>
  <c r="L27" i="15"/>
  <c r="F24" i="3" s="1"/>
  <c r="J27" i="15"/>
  <c r="I27" i="15"/>
  <c r="H27" i="15"/>
  <c r="G27" i="15"/>
  <c r="F27" i="15"/>
  <c r="E27" i="15"/>
  <c r="D27" i="15"/>
  <c r="C27" i="15"/>
  <c r="B27" i="15"/>
  <c r="L26" i="15"/>
  <c r="K26" i="15"/>
  <c r="L25" i="15"/>
  <c r="K25" i="15"/>
  <c r="L24" i="15"/>
  <c r="K24" i="15"/>
  <c r="L23" i="15"/>
  <c r="K23" i="15"/>
  <c r="L22" i="15"/>
  <c r="K22" i="15"/>
  <c r="L21" i="15"/>
  <c r="K21" i="15"/>
  <c r="L20" i="15"/>
  <c r="K20" i="15"/>
  <c r="L19" i="15"/>
  <c r="K19" i="15"/>
  <c r="L18" i="15"/>
  <c r="K18" i="15"/>
  <c r="L17" i="15"/>
  <c r="K17" i="15"/>
  <c r="L16" i="15"/>
  <c r="K16" i="15"/>
  <c r="K27" i="15" s="1"/>
  <c r="L15" i="15"/>
  <c r="M14" i="15"/>
  <c r="L14" i="15"/>
  <c r="A1" i="15"/>
  <c r="L14" i="14"/>
  <c r="K14" i="14"/>
  <c r="L13" i="14"/>
  <c r="K13" i="14"/>
  <c r="D11" i="14"/>
  <c r="B8" i="14"/>
  <c r="C7" i="14"/>
  <c r="B7" i="14"/>
  <c r="A1" i="14"/>
  <c r="C11" i="13"/>
  <c r="B11" i="13"/>
  <c r="C8" i="13"/>
  <c r="B8" i="13"/>
  <c r="A1" i="13"/>
  <c r="C20" i="12"/>
  <c r="B20" i="12"/>
  <c r="F17" i="3" s="1"/>
  <c r="G13" i="12"/>
  <c r="G21" i="3" s="1"/>
  <c r="F13" i="12"/>
  <c r="G10" i="12"/>
  <c r="F10" i="12"/>
  <c r="C10" i="12"/>
  <c r="B10" i="12"/>
  <c r="A1" i="12"/>
  <c r="D33" i="11"/>
  <c r="C33" i="11"/>
  <c r="F22" i="3" s="1"/>
  <c r="F28" i="3" s="1"/>
  <c r="D27" i="11"/>
  <c r="C27" i="11"/>
  <c r="G23" i="11"/>
  <c r="G21" i="11"/>
  <c r="D21" i="11"/>
  <c r="G16" i="3" s="1"/>
  <c r="C21" i="11"/>
  <c r="G19" i="11"/>
  <c r="H17" i="11"/>
  <c r="H16" i="11"/>
  <c r="H15" i="11"/>
  <c r="H13" i="11"/>
  <c r="G10" i="11"/>
  <c r="D10" i="11"/>
  <c r="C10" i="11"/>
  <c r="A1" i="11"/>
  <c r="C15" i="10"/>
  <c r="B15" i="10"/>
  <c r="C8" i="10"/>
  <c r="B8" i="10"/>
  <c r="A1" i="10"/>
  <c r="D17" i="9"/>
  <c r="G14" i="3" s="1"/>
  <c r="C13" i="9"/>
  <c r="F14" i="3" s="1"/>
  <c r="D9" i="9"/>
  <c r="C9" i="9"/>
  <c r="A1" i="9"/>
  <c r="J51" i="8"/>
  <c r="J49" i="8"/>
  <c r="J45" i="8"/>
  <c r="J43" i="8"/>
  <c r="G41" i="8"/>
  <c r="H39" i="8"/>
  <c r="K37" i="8"/>
  <c r="J37" i="8"/>
  <c r="K35" i="8"/>
  <c r="J35" i="8"/>
  <c r="G33" i="8"/>
  <c r="H31" i="8"/>
  <c r="G25" i="8"/>
  <c r="C25" i="8"/>
  <c r="C41" i="8" s="1"/>
  <c r="A2" i="8"/>
  <c r="F7" i="7"/>
  <c r="H6" i="7"/>
  <c r="A1" i="7"/>
  <c r="C30" i="6"/>
  <c r="C32" i="6" s="1"/>
  <c r="C35" i="6" s="1"/>
  <c r="B30" i="6"/>
  <c r="B32" i="6" s="1"/>
  <c r="B35" i="6" s="1"/>
  <c r="C25" i="6"/>
  <c r="B25" i="6"/>
  <c r="C20" i="6"/>
  <c r="B20" i="6"/>
  <c r="C11" i="6"/>
  <c r="B11" i="6"/>
  <c r="A6" i="6"/>
  <c r="A1" i="6"/>
  <c r="U48" i="5"/>
  <c r="Q48" i="5"/>
  <c r="O48" i="5"/>
  <c r="M48" i="5"/>
  <c r="K48" i="5"/>
  <c r="I48" i="5"/>
  <c r="G48" i="5"/>
  <c r="E48" i="5"/>
  <c r="D48" i="5"/>
  <c r="B48" i="5"/>
  <c r="W46" i="5"/>
  <c r="W44" i="5"/>
  <c r="S42" i="5"/>
  <c r="S48" i="5" s="1"/>
  <c r="Q42" i="5"/>
  <c r="M42" i="5"/>
  <c r="I42" i="5"/>
  <c r="W42" i="5" s="1"/>
  <c r="D42" i="5"/>
  <c r="W40" i="5"/>
  <c r="W38" i="5"/>
  <c r="W36" i="5"/>
  <c r="W35" i="5"/>
  <c r="W34" i="5"/>
  <c r="W32" i="5"/>
  <c r="W30" i="5"/>
  <c r="W28" i="5"/>
  <c r="Q26" i="5"/>
  <c r="M26" i="5"/>
  <c r="I26" i="5"/>
  <c r="D26" i="5"/>
  <c r="W26" i="5" s="1"/>
  <c r="W24" i="5"/>
  <c r="W22" i="5"/>
  <c r="W20" i="5"/>
  <c r="W19" i="5"/>
  <c r="W18" i="5"/>
  <c r="S16" i="5"/>
  <c r="S26" i="5" s="1"/>
  <c r="M16" i="5"/>
  <c r="I16" i="5"/>
  <c r="D16" i="5"/>
  <c r="W14" i="5"/>
  <c r="B14" i="5"/>
  <c r="G5" i="5"/>
  <c r="D1" i="5"/>
  <c r="B1" i="5"/>
  <c r="D30" i="4"/>
  <c r="C30" i="4"/>
  <c r="D29" i="4"/>
  <c r="C29" i="4"/>
  <c r="D27" i="4"/>
  <c r="C27" i="4"/>
  <c r="D25" i="4"/>
  <c r="C25" i="4"/>
  <c r="D23" i="4"/>
  <c r="C23" i="4"/>
  <c r="D21" i="4"/>
  <c r="C21" i="4"/>
  <c r="D20" i="4"/>
  <c r="C20" i="4"/>
  <c r="D18" i="4"/>
  <c r="C18" i="4"/>
  <c r="D17" i="4"/>
  <c r="C17" i="4"/>
  <c r="D14" i="4"/>
  <c r="C14" i="4"/>
  <c r="D13" i="4"/>
  <c r="D15" i="4" s="1"/>
  <c r="C13" i="4"/>
  <c r="C15" i="4" s="1"/>
  <c r="D12" i="4"/>
  <c r="C12" i="4"/>
  <c r="A8" i="4"/>
  <c r="D1" i="4"/>
  <c r="A1" i="4"/>
  <c r="G55" i="3"/>
  <c r="F55" i="3"/>
  <c r="G53" i="3"/>
  <c r="F53" i="3"/>
  <c r="G52" i="3"/>
  <c r="F52" i="3"/>
  <c r="G51" i="3"/>
  <c r="F51" i="3"/>
  <c r="G50" i="3"/>
  <c r="F50" i="3"/>
  <c r="G49" i="3"/>
  <c r="F49" i="3"/>
  <c r="F54" i="3" s="1"/>
  <c r="F56" i="3" s="1"/>
  <c r="G48" i="3"/>
  <c r="F48" i="3"/>
  <c r="G47" i="3"/>
  <c r="G54" i="3" s="1"/>
  <c r="G56" i="3" s="1"/>
  <c r="F47" i="3"/>
  <c r="F43" i="3"/>
  <c r="G42" i="3"/>
  <c r="F42" i="3"/>
  <c r="G41" i="3"/>
  <c r="G43" i="3" s="1"/>
  <c r="G45" i="3" s="1"/>
  <c r="G57" i="3" s="1"/>
  <c r="F41" i="3"/>
  <c r="G38" i="3"/>
  <c r="F38" i="3"/>
  <c r="G37" i="3"/>
  <c r="F37" i="3"/>
  <c r="G36" i="3"/>
  <c r="F36" i="3"/>
  <c r="G35" i="3"/>
  <c r="G34" i="3"/>
  <c r="F34" i="3"/>
  <c r="F33" i="3" s="1"/>
  <c r="G33" i="3"/>
  <c r="G27" i="3"/>
  <c r="G26" i="3"/>
  <c r="G23" i="3"/>
  <c r="F23" i="3"/>
  <c r="G22" i="3"/>
  <c r="F21" i="3"/>
  <c r="G18" i="3"/>
  <c r="F18" i="3"/>
  <c r="G17" i="3"/>
  <c r="F16" i="3"/>
  <c r="G15" i="3"/>
  <c r="F15" i="3"/>
  <c r="G11" i="3"/>
  <c r="F11" i="3"/>
  <c r="A8" i="3"/>
  <c r="D1" i="3"/>
  <c r="H73" i="2"/>
  <c r="G73" i="2"/>
  <c r="H72" i="2"/>
  <c r="H71" i="2"/>
  <c r="G71" i="2"/>
  <c r="H70" i="2"/>
  <c r="G70" i="2"/>
  <c r="G69" i="2"/>
  <c r="J53" i="8" l="1"/>
  <c r="C33" i="8"/>
  <c r="W50" i="5"/>
  <c r="F19" i="3"/>
  <c r="F29" i="3" s="1"/>
  <c r="G19" i="3"/>
  <c r="G29" i="3" s="1"/>
  <c r="F39" i="3"/>
  <c r="D19" i="4"/>
  <c r="D22" i="4" s="1"/>
  <c r="D24" i="4" s="1"/>
  <c r="D26" i="4" s="1"/>
  <c r="D28" i="4" s="1"/>
  <c r="D31" i="4" s="1"/>
  <c r="C9" i="41" s="1"/>
  <c r="C10" i="41" s="1"/>
  <c r="D32" i="4" s="1"/>
  <c r="F45" i="3"/>
  <c r="F57" i="3" s="1"/>
  <c r="G28" i="3"/>
  <c r="G77" i="33"/>
  <c r="C19" i="4"/>
  <c r="C22" i="4" s="1"/>
  <c r="C24" i="4" s="1"/>
  <c r="C26" i="4" s="1"/>
  <c r="C28" i="4" s="1"/>
  <c r="C31" i="4" s="1"/>
  <c r="B9" i="41" s="1"/>
  <c r="B10" i="41" s="1"/>
  <c r="C32" i="4" s="1"/>
  <c r="D77" i="33"/>
  <c r="W16" i="5"/>
  <c r="B77" i="33"/>
  <c r="C16" i="4" s="1"/>
</calcChain>
</file>

<file path=xl/sharedStrings.xml><?xml version="1.0" encoding="utf-8"?>
<sst xmlns="http://schemas.openxmlformats.org/spreadsheetml/2006/main" count="3462" uniqueCount="1231">
  <si>
    <t>Sociedad:</t>
  </si>
  <si>
    <t>KUROSU &amp; CIA. S.A.</t>
  </si>
  <si>
    <t>Enero</t>
  </si>
  <si>
    <t>Febrero</t>
  </si>
  <si>
    <t>Marzo</t>
  </si>
  <si>
    <t>Abril</t>
  </si>
  <si>
    <t>Fecha Presentación:</t>
  </si>
  <si>
    <t>Mayo</t>
  </si>
  <si>
    <t>Junio</t>
  </si>
  <si>
    <t>Julio</t>
  </si>
  <si>
    <t>INDICE</t>
  </si>
  <si>
    <t>REF.</t>
  </si>
  <si>
    <t>Agosto</t>
  </si>
  <si>
    <t>Informacion General</t>
  </si>
  <si>
    <t>Información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</si>
  <si>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</si>
  <si>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</si>
  <si>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</si>
  <si>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</si>
  <si>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</si>
  <si>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</si>
  <si>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</si>
  <si>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</si>
  <si>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</si>
  <si>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</si>
  <si>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</si>
  <si>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</si>
  <si>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Inversiones temporales</t>
  </si>
  <si>
    <t>Nota 4</t>
  </si>
  <si>
    <t>Cuentas por cobrar comerciales</t>
  </si>
  <si>
    <t>Nota 5</t>
  </si>
  <si>
    <t>Otros créditos</t>
  </si>
  <si>
    <t>Nota 6</t>
  </si>
  <si>
    <t>Inventarios</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</si>
  <si>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</si>
  <si>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</si>
  <si>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</si>
  <si>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</si>
  <si>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</si>
  <si>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</si>
  <si>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</si>
  <si>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</si>
  <si>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</si>
  <si>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</si>
  <si>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</si>
  <si>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</si>
  <si>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</si>
  <si>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</si>
  <si>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</si>
  <si>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</si>
  <si>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</si>
  <si>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</si>
  <si>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</si>
  <si>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</si>
  <si>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</si>
  <si>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</si>
  <si>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</si>
  <si>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</si>
  <si>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</si>
  <si>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</si>
  <si>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</si>
  <si>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Capital integrado</t>
  </si>
  <si>
    <t>Nota 20</t>
  </si>
  <si>
    <t>Reserva de revalúo</t>
  </si>
  <si>
    <t>Nota 21</t>
  </si>
  <si>
    <t>Reserva legal</t>
  </si>
  <si>
    <t>Reservas estatutarias</t>
  </si>
  <si>
    <t>Reservas facultativas</t>
  </si>
  <si>
    <t>Diferencia transitoria por conversión</t>
  </si>
  <si>
    <t>Nota 22</t>
  </si>
  <si>
    <t>Resultados acumulados</t>
  </si>
  <si>
    <t>Nota 23</t>
  </si>
  <si>
    <t>Interés minoritario</t>
  </si>
  <si>
    <t>Nota 24</t>
  </si>
  <si>
    <t xml:space="preserve">Estado de Resultados </t>
  </si>
  <si>
    <t>ER</t>
  </si>
  <si>
    <t>Ventas</t>
  </si>
  <si>
    <t>Nota 25</t>
  </si>
  <si>
    <t>Costo de ventas</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</si>
  <si>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</si>
  <si>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</si>
  <si>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</si>
  <si>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</si>
  <si>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</si>
  <si>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</si>
  <si>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</si>
  <si>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</si>
  <si>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</si>
  <si>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</si>
  <si>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</si>
  <si>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</si>
  <si>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</si>
  <si>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Impuesto a la renta</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</si>
  <si>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</si>
  <si>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</si>
  <si>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</si>
  <si>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</si>
  <si>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</si>
  <si>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</si>
  <si>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</si>
  <si>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</si>
  <si>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</si>
  <si>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</si>
  <si>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</si>
  <si>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</si>
  <si>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</si>
  <si>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</si>
  <si>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</si>
  <si>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</si>
  <si>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</si>
  <si>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Impuesto diferido</t>
  </si>
  <si>
    <t>Nota 38</t>
  </si>
  <si>
    <t>Hechos posteriores</t>
  </si>
  <si>
    <t>Nota 39</t>
  </si>
  <si>
    <t>Saldos y transacciones con partes relacionadas</t>
  </si>
  <si>
    <t>Nota 40</t>
  </si>
  <si>
    <t>Indice</t>
  </si>
  <si>
    <t xml:space="preserve">INFORMACION GENERAL DE LA ENTIDAD </t>
  </si>
  <si>
    <t>Información al:</t>
  </si>
  <si>
    <t>1.              IDENTIFICACIÓN</t>
  </si>
  <si>
    <t>1.1            NOMBRE O RAZON SOCIAL:</t>
  </si>
  <si>
    <t>1.2            ANTECEDENTES DE CONSTITUCIÓN SOCIAL Y REFORMAS ESTATUTARIAS:</t>
  </si>
  <si>
    <r>
      <rPr>
        <b/>
        <sz val="10"/>
        <color rgb="FF000000"/>
        <rFont val="Arial"/>
        <family val="2"/>
        <charset val="1"/>
      </rPr>
      <t>KUROSU  &amp;  CIA.  S.A.</t>
    </r>
    <r>
      <rPr>
        <sz val="10"/>
        <color rgb="FF000000"/>
        <rFont val="Arial"/>
        <family val="2"/>
        <charset val="1"/>
      </rPr>
      <t xml:space="preserve">  fue  constituida  por  Escritura  Pública  Nº  138  de  fecha  24  de  octubre  de  1975 pasada ante el  Escribano Público Luís Manuel  Brunstein. Los Estatutos Sociales fueron aprobados, y reconocida su personería jurídica, por Decreto del Poder Ejecutivo Nº 20.400 de fecha 27 de enero de 1976; inscripta en el Registro Público de Comercio bajo el Nº 657 al folio 3.406 y siguientes, Sección Contratos,  Serie  “B”,  en  fecha  15  de  junio  de  1989.  El  contrato  social  originario  tuvo  las  siguientes modificaciones:</t>
    </r>
  </si>
  <si>
    <r>
      <rPr>
        <sz val="10"/>
        <color rgb="FF000000"/>
        <rFont val="Arial"/>
        <family val="2"/>
        <charset val="1"/>
      </rPr>
      <t xml:space="preserve">Por Escritura Pública </t>
    </r>
    <r>
      <rPr>
        <b/>
        <sz val="10"/>
        <rFont val="Arial"/>
        <family val="2"/>
        <charset val="1"/>
      </rPr>
      <t xml:space="preserve">Nº 300 </t>
    </r>
    <r>
      <rPr>
        <sz val="10"/>
        <rFont val="Arial"/>
        <family val="2"/>
        <charset val="1"/>
      </rPr>
      <t>de fecha 25 de setiembre de 1980 pasada ante el Escribano Público Luís Manuel Brunstein; aprobada por Decreto del Poder Ejecutivo Nº 23.005 de fecha 07 de febrero de 1981, anotada  en  el  Registro  Público  de  Comercio  bajo  el  Nº  658,  al  folio  3.430  y  siguientes,  Sección Contratos, Serie “B”, en fecha 15 de junio de 1989.</t>
    </r>
  </si>
  <si>
    <r>
      <rPr>
        <sz val="10"/>
        <color rgb="FF000000"/>
        <rFont val="Arial"/>
        <family val="2"/>
        <charset val="1"/>
      </rPr>
      <t xml:space="preserve">Por Escritura Pública Nº </t>
    </r>
    <r>
      <rPr>
        <b/>
        <sz val="10"/>
        <rFont val="Arial"/>
        <family val="2"/>
        <charset val="1"/>
      </rPr>
      <t xml:space="preserve">20 </t>
    </r>
    <r>
      <rPr>
        <sz val="10"/>
        <rFont val="Arial"/>
        <family val="2"/>
        <charset val="1"/>
      </rPr>
      <t>de fecha 27 de mayo de 1991 pasada ante el Escribano Público Luís Manuel Brunstein;  aprobada  por  Decreto  del  Poder  Ejecutivo  Nº  12.233  de  fecha  13  de  enero  de  1992,  e inscripta  en  el  Registro  Público  de  Comercio  bajo  el  Nº  185,  al  folio  1.032  y  siguientes,  Sección Contratos, Serie “B”, en fecha 25 de febrero de 1992.</t>
    </r>
  </si>
  <si>
    <r>
      <rPr>
        <sz val="10"/>
        <color rgb="FF000000"/>
        <rFont val="Arial"/>
        <family val="2"/>
        <charset val="1"/>
      </rPr>
      <t xml:space="preserve">Por  Escritura  Pública  Nº  </t>
    </r>
    <r>
      <rPr>
        <b/>
        <sz val="10"/>
        <rFont val="Arial"/>
        <family val="2"/>
        <charset val="1"/>
      </rPr>
      <t xml:space="preserve">149  </t>
    </r>
    <r>
      <rPr>
        <sz val="10"/>
        <rFont val="Arial"/>
        <family val="2"/>
        <charset val="1"/>
      </rPr>
      <t xml:space="preserve">de  fecha  29  de  julio  de  1996  pasada  ante  la  Escribana  Pública  Fanny Kiyomi Moriya Ishibashi, inscripta en el Registro de Personas Jurídicas y Asociaciones, bajo el Nº 440, folio  55.734  y  siguientes,  serie  “A”,  en  fecha  03  de  setiembre  de  1996;  y  en  el  Registro  Público  de Comercio,  bajo  el  Nº  482,  folio  4.657  y  siguientes,  serie  “C”,  Sección  Contratos,  en  fecha  10  de setiembre de 1996.
</t>
    </r>
  </si>
  <si>
    <r>
      <rPr>
        <sz val="10"/>
        <color rgb="FF000000"/>
        <rFont val="Arial"/>
        <family val="2"/>
        <charset val="1"/>
      </rPr>
      <t xml:space="preserve">Por  Escritura  Pública  Nº  </t>
    </r>
    <r>
      <rPr>
        <b/>
        <sz val="10"/>
        <rFont val="Arial"/>
        <family val="2"/>
        <charset val="1"/>
      </rPr>
      <t xml:space="preserve">146  </t>
    </r>
    <r>
      <rPr>
        <sz val="10"/>
        <rFont val="Arial"/>
        <family val="2"/>
        <charset val="1"/>
      </rPr>
      <t>de  fecha  10  de  junio  de  1998  pasada  ante  la  Escribana  Pública Fanny Kiyomi Moriya Ishibashi, anotada en el Registro de Personas Jurídicas y Asociaciones, bajo el Nº 336, folio 4.764, Serie “A”, en fecha 18 de setiembre de 1998; y en el Registro Público de Comercio, Sección Contratos, bajo el Nº 693, Serie “A”, folio 4.247 y siguientes, en fecha 25 de setiembre de 1998.</t>
    </r>
  </si>
  <si>
    <r>
      <rPr>
        <sz val="10"/>
        <color rgb="FF000000"/>
        <rFont val="Arial"/>
        <family val="2"/>
        <charset val="1"/>
      </rPr>
      <t xml:space="preserve">Por  Escritura  Pública  Nº  </t>
    </r>
    <r>
      <rPr>
        <b/>
        <sz val="10"/>
        <rFont val="Arial"/>
        <family val="2"/>
        <charset val="1"/>
      </rPr>
      <t xml:space="preserve">176  </t>
    </r>
    <r>
      <rPr>
        <sz val="10"/>
        <rFont val="Arial"/>
        <family val="2"/>
        <charset val="1"/>
      </rPr>
      <t>de  fecha  04  de  junio  de  2004  pasada  ante  la  Escribana  Pública Fanny Kiyomi Moriya Ishibashi, inscripta en el Registro de Personas Jurídicas y Asociaciones, bajo el Nº 247, folio 2.607, Serie “A”, en fecha 04 de agosto de 2004; y en el  Registro Público de Comercio, Sección Contratos, Serie “B”, bajo el Nº 730, folio 8.439 y siguientes, en fecha 22 de julio de 2004.</t>
    </r>
  </si>
  <si>
    <r>
      <rPr>
        <sz val="10"/>
        <rFont val="Arial"/>
        <family val="2"/>
        <charset val="1"/>
      </rPr>
      <t xml:space="preserve">Por Escritura Pública Nº </t>
    </r>
    <r>
      <rPr>
        <b/>
        <sz val="10"/>
        <rFont val="Arial"/>
        <family val="2"/>
        <charset val="1"/>
      </rPr>
      <t xml:space="preserve">163 </t>
    </r>
    <r>
      <rPr>
        <sz val="10"/>
        <rFont val="Arial"/>
        <family val="2"/>
        <charset val="1"/>
      </rPr>
      <t xml:space="preserve">de fecha 10 de agosto de 2006 pasada ante la Escribana Pública Fanny Kiyomi Moriya Ishibashi, inscripta en el Registro de Personas Jurídicas y Asociaciones, bajo el Nº 1.408, folio 15.845, Serie “C”, en fecha 06 de diciembre de 2006; y en el Registro Público de Comercio, Sección Contratos, Serie “E”, bajo el Nº 1.334, folio 13.309 y siguientes, en fecha 06 de diciembre de 2006, con esta modificación de la escritura, la Sociedad queda habilitada para emitir títulos valores que podrán ser negociados a través de la bolsa de valores, previa autorización de la Comisión Nacional de Valores y de conformidad a las leyes que regulan la materia.
</t>
    </r>
  </si>
  <si>
    <r>
      <rPr>
        <sz val="10"/>
        <rFont val="Arial"/>
        <family val="2"/>
        <charset val="1"/>
      </rPr>
      <t xml:space="preserve">Por  Escritura  Pública  Nº  </t>
    </r>
    <r>
      <rPr>
        <b/>
        <sz val="10"/>
        <rFont val="Arial"/>
        <family val="2"/>
        <charset val="1"/>
      </rPr>
      <t xml:space="preserve">98  </t>
    </r>
    <r>
      <rPr>
        <sz val="10"/>
        <rFont val="Arial"/>
        <family val="2"/>
        <charset val="1"/>
      </rPr>
      <t>de  fecha  04  de mayo  de  2009,  pasada  ante  la  Escribana  Pública Fanny Kiyomi Moriya Ishibashi, anotada en el Registro de Personas Jurídicas y Asociaciones, bajo el Nº 614, folio  6.662,  Serie  “A”,  en  fecha  08  de  junio  de  2009;  y  en  el  Registro  Público  de  Comercio,  Sección Contratos, Serie “A”, bajo el Nº 297, folio 2.435, en fecha 08 de junio de 2009.</t>
    </r>
  </si>
  <si>
    <r>
      <rPr>
        <sz val="10"/>
        <color rgb="FF000000"/>
        <rFont val="Arial"/>
        <family val="2"/>
        <charset val="1"/>
      </rPr>
      <t xml:space="preserve">Por  Escritura Pública  N°  </t>
    </r>
    <r>
      <rPr>
        <b/>
        <sz val="10"/>
        <rFont val="Arial"/>
        <family val="2"/>
        <charset val="1"/>
      </rPr>
      <t xml:space="preserve">104 </t>
    </r>
    <r>
      <rPr>
        <sz val="10"/>
        <rFont val="Arial"/>
        <family val="2"/>
        <charset val="1"/>
      </rPr>
      <t>de fecha  07  de junio de  2013,  pasada  ante la  Escribana  Pública Fanny Kiyomi Moriya Ishibashi, anotada en el Registro de Personas Jurídicas y Asociaciones, bajo el N° 912, folio  9855  serie  “A”,  en  fecha  02  de  julio  de  2013;  y  en  el  Registro  Público  de  Comercio,  sección contratos serie “H”, bajo el N° 153, folio 1607 y siguientes, en fecha 02 de julio de 2013.</t>
    </r>
  </si>
  <si>
    <r>
      <rPr>
        <sz val="10"/>
        <color rgb="FF000000"/>
        <rFont val="Arial"/>
        <family val="2"/>
        <charset val="1"/>
      </rPr>
      <t xml:space="preserve">Por Escritura Pública N° </t>
    </r>
    <r>
      <rPr>
        <b/>
        <sz val="10"/>
        <color rgb="FF000000"/>
        <rFont val="Arial"/>
        <family val="2"/>
        <charset val="1"/>
      </rPr>
      <t xml:space="preserve">398 </t>
    </r>
    <r>
      <rPr>
        <sz val="10"/>
        <color rgb="FF000000"/>
        <rFont val="Arial"/>
        <family val="2"/>
        <charset val="1"/>
      </rPr>
      <t>de fecha 21 de diciembre de 2020, pasada ante la N.P. Fanny Kiyomi Moriya Ishibashi, inscripta en el Registro de Personas Jurídicas y Asociaciones, bajo la Matrícula Jurídica N° 34270, Serie Comercial, bajo el N° 01, folio 01, el 13 de abril de 2021; y en el Registro Público de Comercio, bajo la Matrícula N° 34821, Serie Comercial, bajo el N° 01 Folio 01-15, el 13 de abril de 2021.</t>
    </r>
  </si>
  <si>
    <r>
      <rPr>
        <sz val="10"/>
        <color rgb="FF000000"/>
        <rFont val="Arial"/>
        <family val="2"/>
        <charset val="1"/>
      </rPr>
      <t xml:space="preserve">Por Escritura Pública </t>
    </r>
    <r>
      <rPr>
        <b/>
        <sz val="10"/>
        <color rgb="FF000000"/>
        <rFont val="Arial"/>
        <family val="2"/>
        <charset val="1"/>
      </rPr>
      <t>N° 340</t>
    </r>
    <r>
      <rPr>
        <sz val="10"/>
        <color rgb="FF000000"/>
        <rFont val="Arial"/>
        <family val="2"/>
        <charset val="1"/>
      </rPr>
      <t xml:space="preserve"> de fecha 23 de agosto de 2021, pasada ante la N.P. Fanny Kiyomi Moriya Ishibashi, inscripta en el Registro de Personas Jurídicas y Asociaciones, bajo la Matrícula Jurídica N° 34821, Serie Comercial, bajo el N° 02, folio 18-23, el  08 de octubre de 2021; y en el Registro Público de Comercio, bajo la Matrícula N° 34821, Serie Comercial, bajo el N° 02 Folio  18-23, el 08 de octubre de 2021.</t>
    </r>
  </si>
  <si>
    <r>
      <rPr>
        <sz val="10"/>
        <color rgb="FF000000"/>
        <rFont val="Arial"/>
        <family val="2"/>
        <charset val="1"/>
      </rPr>
      <t xml:space="preserve">Por escritura Pública </t>
    </r>
    <r>
      <rPr>
        <b/>
        <sz val="10"/>
        <color rgb="FF000000"/>
        <rFont val="Arial"/>
        <family val="2"/>
        <charset val="1"/>
      </rPr>
      <t>Nº 151</t>
    </r>
    <r>
      <rPr>
        <sz val="10"/>
        <color rgb="FF000000"/>
        <rFont val="Arial"/>
        <family val="2"/>
        <charset val="1"/>
      </rPr>
      <t xml:space="preserve"> de fecha 08 de junio de 2022, pasada ante la N.P. Fanny Kiyomi Moriya Ishibashi, inscripta en el Registro de Personas Jurídicas y Asociaciones, bajo la Matricula Jurídica N.º 34821, Serie Comercial, bajo el N.º 03, folio 24 de fecha 22 de agosto de 2022.</t>
    </r>
  </si>
  <si>
    <r>
      <rPr>
        <sz val="10"/>
        <color rgb="FF000000"/>
        <rFont val="Arial"/>
        <family val="2"/>
        <charset val="1"/>
      </rPr>
      <t xml:space="preserve">Por escritura Pública </t>
    </r>
    <r>
      <rPr>
        <b/>
        <sz val="10"/>
        <color rgb="FF000000"/>
        <rFont val="Arial"/>
        <family val="2"/>
        <charset val="1"/>
      </rPr>
      <t>N° 52</t>
    </r>
    <r>
      <rPr>
        <sz val="10"/>
        <color rgb="FF000000"/>
        <rFont val="Arial"/>
        <family val="2"/>
        <charset val="1"/>
      </rPr>
      <t xml:space="preserve"> de fecha 12 de setiembre de 2023, pasada ante la N.P. Patricia Elizabeth Andino Báez, inscripta en la Dirección General de los Registros Públicos Sección Personas Jurídicas y Comercio, bajo la Matrícula Jurídica N° 34821, Serie Comercial, bajo el N° 4 Folio 41, el 26 de setiembre de 2023.
</t>
    </r>
  </si>
  <si>
    <r>
      <rPr>
        <sz val="10"/>
        <color rgb="FF000000"/>
        <rFont val="Arial"/>
        <family val="2"/>
        <charset val="1"/>
      </rPr>
      <t xml:space="preserve">Por escritura Pública </t>
    </r>
    <r>
      <rPr>
        <b/>
        <sz val="10"/>
        <color rgb="FF000000"/>
        <rFont val="Arial"/>
        <family val="2"/>
        <charset val="1"/>
      </rPr>
      <t xml:space="preserve">N° 20 </t>
    </r>
    <r>
      <rPr>
        <sz val="10"/>
        <color rgb="FF000000"/>
        <rFont val="Arial"/>
        <family val="2"/>
        <charset val="1"/>
      </rPr>
      <t xml:space="preserve">de fecha 20 de agosto de 2024, pasada ante la N.P. Patricia Elizabeth Andino Báez, inscripta en la Dirección General de los Registros Públicos Sección Personas Jurídicas y Comercio, bajo la Matrícula Jurídica N° 34821, Serie Comercial, bajo el N° 5 Folio 57-72, el 06 de setiembre de 2024.
</t>
    </r>
  </si>
  <si>
    <t>1.3            RUC:</t>
  </si>
  <si>
    <t>80002592-0</t>
  </si>
  <si>
    <t>1.4            ACTIVIDAD ECONOMICA PRINCIPAL:</t>
  </si>
  <si>
    <t>Comercio al por mayor de maquinaria, equipo y suministros agrícolas.</t>
  </si>
  <si>
    <t>Comercio al por mayor de textiles, prendas de vestir, calzados, artículos de marroquinería y talabartería.</t>
  </si>
  <si>
    <t>1.5            ACTIVIDADES  ECONOMICAS SECUNDARIAS:</t>
  </si>
  <si>
    <t>Comercio al por mayor de otras maquinarias y equipos n.c.p.</t>
  </si>
  <si>
    <t>Comercio al por mayor de otros productos n.c.p.</t>
  </si>
  <si>
    <t>Depósito y almacenamiento.</t>
  </si>
  <si>
    <t xml:space="preserve">1.6            DOMICILIO LEGAL: </t>
  </si>
  <si>
    <t>Ruta PY06 Km.11 - Barrio Arroyo Porá - Encarnación – Itapúa, Paraguay.</t>
  </si>
  <si>
    <t>1.7            TELEFONO:</t>
  </si>
  <si>
    <t>(071) 204190 – 214600 – 214700</t>
  </si>
  <si>
    <t>1.8            FAX:</t>
  </si>
  <si>
    <t>(071) 204190</t>
  </si>
  <si>
    <t>1.9            E-MAIL:</t>
  </si>
  <si>
    <t>anmaciel@kurosu.com.py</t>
  </si>
  <si>
    <t>1.10        SITIO PAGINA WEB</t>
  </si>
  <si>
    <t>www.kurosu.com.py</t>
  </si>
  <si>
    <t xml:space="preserve">2.        ADMINISTRACION:    </t>
  </si>
  <si>
    <t xml:space="preserve"> CARGOS</t>
  </si>
  <si>
    <t>Nombres</t>
  </si>
  <si>
    <t>Apellidos</t>
  </si>
  <si>
    <t>Representantes Legales:</t>
  </si>
  <si>
    <t>Eva Rosa</t>
  </si>
  <si>
    <t>Rodriguez de Hermosilla</t>
  </si>
  <si>
    <t>Antonio</t>
  </si>
  <si>
    <t>Maciel Rotela</t>
  </si>
  <si>
    <t>Jaime Hitoshi</t>
  </si>
  <si>
    <t xml:space="preserve">Kurosu Ishigaki </t>
  </si>
  <si>
    <t>Presidente</t>
  </si>
  <si>
    <t>Directora Vicepresidente</t>
  </si>
  <si>
    <t>Director Titular</t>
  </si>
  <si>
    <t>Basilio José</t>
  </si>
  <si>
    <t>Ramirez Flores</t>
  </si>
  <si>
    <t xml:space="preserve">Javier </t>
  </si>
  <si>
    <t>Valenzuela Esquivel</t>
  </si>
  <si>
    <t>Síndico Titular</t>
  </si>
  <si>
    <t>Alcira</t>
  </si>
  <si>
    <t xml:space="preserve">Onishi Kazuko </t>
  </si>
  <si>
    <t>Síndico  Suplente</t>
  </si>
  <si>
    <t>Aristides Ramon</t>
  </si>
  <si>
    <t>Corrales Arguello</t>
  </si>
  <si>
    <t>3.     CAPITAL  Y PROPIEDAD EN GUARANIES:</t>
  </si>
  <si>
    <t xml:space="preserve">Capital Social </t>
  </si>
  <si>
    <t xml:space="preserve">Capital Emitido </t>
  </si>
  <si>
    <t xml:space="preserve">Capital Suscripto </t>
  </si>
  <si>
    <t xml:space="preserve">Capital Integrado </t>
  </si>
  <si>
    <t xml:space="preserve">Valor nominal de  las acciones </t>
  </si>
  <si>
    <t>COMPOSICIÓN ACCIONARIA: Accionistas que detentan el diez (10) por ciento o más de participación en el capital.</t>
  </si>
  <si>
    <t>N°</t>
  </si>
  <si>
    <t>Accionistas</t>
  </si>
  <si>
    <t>Cantidad de acciones</t>
  </si>
  <si>
    <t>Clases</t>
  </si>
  <si>
    <t>Votos</t>
  </si>
  <si>
    <t>Montos</t>
  </si>
  <si>
    <t>%  de participación del capital integrado</t>
  </si>
  <si>
    <t>Jaime Hitoshi Kurosu Ishigaki</t>
  </si>
  <si>
    <t>Ord.V.Mult.</t>
  </si>
  <si>
    <t>Ord.Simple</t>
  </si>
  <si>
    <t>Subtotal</t>
  </si>
  <si>
    <t>Mina Kurosu Ishigaki</t>
  </si>
  <si>
    <t>4.  AUDITOR EXTERNO INDEPENDIENTE</t>
  </si>
  <si>
    <t xml:space="preserve">4.1 AUDITOR  EXTERNO  INDEPENDIENTE DESIGNADO: </t>
  </si>
  <si>
    <t>4.2 NUMERO DE INSCRIPCIÓN EN EL REGISTRO DE LA CNV:</t>
  </si>
  <si>
    <t xml:space="preserve">          </t>
  </si>
  <si>
    <t>5.</t>
  </si>
  <si>
    <t>Plantel de Colaboradores</t>
  </si>
  <si>
    <r>
      <rPr>
        <sz val="10"/>
        <color rgb="FF000000"/>
        <rFont val="Arial"/>
        <family val="2"/>
        <charset val="1"/>
      </rPr>
      <t>Al 31 de Marzo del 2.025 y 31 de diciembre del 2.024 la firma</t>
    </r>
    <r>
      <rPr>
        <b/>
        <sz val="10"/>
        <color rgb="FF000000"/>
        <rFont val="Arial"/>
        <family val="2"/>
        <charset val="1"/>
      </rPr>
      <t xml:space="preserve"> KUROSU &amp; CIA S.A.</t>
    </r>
    <r>
      <rPr>
        <sz val="10"/>
        <color rgb="FF000000"/>
        <rFont val="Arial"/>
        <family val="2"/>
        <charset val="1"/>
      </rPr>
      <t xml:space="preserve"> presenta el siguiente número de  plantel de colaboradores.-</t>
    </r>
  </si>
  <si>
    <t>Detalle</t>
  </si>
  <si>
    <t>Al 31/03/2025</t>
  </si>
  <si>
    <t>Al 31/12/2024</t>
  </si>
  <si>
    <t>Colaboradores</t>
  </si>
  <si>
    <t>BALANCE GENERAL</t>
  </si>
  <si>
    <t xml:space="preserve"> (Expresado en guaraníes)</t>
  </si>
  <si>
    <t>Nota</t>
  </si>
  <si>
    <t>ACTIVOS</t>
  </si>
  <si>
    <t>Activos Corrientes</t>
  </si>
  <si>
    <t>Total activos corrientes</t>
  </si>
  <si>
    <t>Activos no Corrientes</t>
  </si>
  <si>
    <t xml:space="preserve">Otros créditos </t>
  </si>
  <si>
    <t>Propiedades, planta y equipo/Bienes de uso, neto</t>
  </si>
  <si>
    <t>Total activos no corrientes</t>
  </si>
  <si>
    <t>Total Activos</t>
  </si>
  <si>
    <t>PASIVOS Y PATRIMONIO NETO</t>
  </si>
  <si>
    <t>Pasivos corrientes</t>
  </si>
  <si>
    <t xml:space="preserve">Préstamos a corto plazo </t>
  </si>
  <si>
    <t>Total Pasivos Corrientes</t>
  </si>
  <si>
    <t>Pasivos no corrientes</t>
  </si>
  <si>
    <t xml:space="preserve">Préstamos a largo plazo </t>
  </si>
  <si>
    <t>Otros pasivos  no corrientes</t>
  </si>
  <si>
    <t>Total pasivos no corrientes</t>
  </si>
  <si>
    <t>Total Pasivos</t>
  </si>
  <si>
    <t>Patrimonio Neto</t>
  </si>
  <si>
    <t>Reservas facultatitvas</t>
  </si>
  <si>
    <t>Total Patrimonio Neto</t>
  </si>
  <si>
    <t>Total Pasivos y Patrimonio Neto</t>
  </si>
  <si>
    <t>Las notas que se acompañan forman parte integrante de estos estados.</t>
  </si>
  <si>
    <t xml:space="preserve"> </t>
  </si>
  <si>
    <t>ESTADO DE RESULTADOS</t>
  </si>
  <si>
    <t>(Expresado en guaraníes)</t>
  </si>
  <si>
    <t>Utilidad bruta</t>
  </si>
  <si>
    <t xml:space="preserve">Gastos administrativos </t>
  </si>
  <si>
    <t>Otros ingresos  y gastos operativos</t>
  </si>
  <si>
    <t>Resultado operativo</t>
  </si>
  <si>
    <t>Gastos financieros -  neto</t>
  </si>
  <si>
    <t>Resultados ordinarios antes de impuesto a la renta y participación minoritaria</t>
  </si>
  <si>
    <t>Resultado ordinario antes del impuesto a la renta</t>
  </si>
  <si>
    <t>Resultado neto de actividades ordinarias</t>
  </si>
  <si>
    <t xml:space="preserve">Utilidad/(Pérdida) neta del año </t>
  </si>
  <si>
    <t>ESTADO DE EVOLUCIÓN DEL PATRIMONIO NETO</t>
  </si>
  <si>
    <t>Aporte de los propietarios</t>
  </si>
  <si>
    <t>Ganancias reservadas</t>
  </si>
  <si>
    <t>Capital suscripto e integrado</t>
  </si>
  <si>
    <t>Aporte para</t>
  </si>
  <si>
    <t>Primas de emisión</t>
  </si>
  <si>
    <t>Reserva de revalúo técnico</t>
  </si>
  <si>
    <t>Reserva facultativa</t>
  </si>
  <si>
    <t>Resultados del Ejercicio anterior</t>
  </si>
  <si>
    <t xml:space="preserve">Resultados del Ejercicio </t>
  </si>
  <si>
    <t>Interes Minoritario</t>
  </si>
  <si>
    <t>Total</t>
  </si>
  <si>
    <t>aumento de capital</t>
  </si>
  <si>
    <t>Cambio en política contable (Nota)</t>
  </si>
  <si>
    <t>Saldo reestructurado</t>
  </si>
  <si>
    <t>Transferencia del  resultado del Periodo 31/03/2023</t>
  </si>
  <si>
    <t>Transf. de Dist.de dividendos s/Acta de Asamblea Gral. Ord. N° 58, 23/04/23</t>
  </si>
  <si>
    <t>Integración del capital social</t>
  </si>
  <si>
    <t>Según Estatuto N°52/2023</t>
  </si>
  <si>
    <t>Reserva Legal</t>
  </si>
  <si>
    <t xml:space="preserve">Resultado Ejercicio </t>
  </si>
  <si>
    <t>Saldo al 31 de diciembre 2023</t>
  </si>
  <si>
    <t>Transferencia del Resultado del Ejercicio 31/12/2023</t>
  </si>
  <si>
    <t>Resultado del  periodo</t>
  </si>
  <si>
    <t>Saldo al 31 de Marzo de 2024</t>
  </si>
  <si>
    <t>Transferencia del  resultado del Periodo 31/03/2024</t>
  </si>
  <si>
    <t>Transf. de Dist.de dividendos s/Acta de Asamblea Ord.N°60/24</t>
  </si>
  <si>
    <t>Según Estatuto N°20/2024</t>
  </si>
  <si>
    <t>Resultado del  ejercicio</t>
  </si>
  <si>
    <t>Saldo al 31 de diciembre 2024</t>
  </si>
  <si>
    <t>Transferencia del  resultado 31/12/2024</t>
  </si>
  <si>
    <t>ESTADO DE FLUJOS DE EFECTIVO (Método directo)</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</si>
  <si>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</si>
  <si>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</si>
  <si>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</si>
  <si>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</si>
  <si>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</si>
  <si>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</si>
  <si>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</si>
  <si>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</si>
  <si>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</si>
  <si>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de uso</t>
  </si>
  <si>
    <t>Aquisición de inversiones</t>
  </si>
  <si>
    <t>Flujo neto de efectivo de actividades de inversión</t>
  </si>
  <si>
    <t>FLUJO DE EFECTIVO DE ACTIVIDADES DE FINANCIACIÓN</t>
  </si>
  <si>
    <t>Disminución/ Incremento de préstamos</t>
  </si>
  <si>
    <t>Dividendos pagados</t>
  </si>
  <si>
    <t>Flujo neto de efectivo de actividades de financiamiento</t>
  </si>
  <si>
    <t>Disminución neto de efectivo</t>
  </si>
  <si>
    <t>Efecto estimado de la diferencia de cambio sobre el saldo de efectivo</t>
  </si>
  <si>
    <t>Efectivo al principio del año</t>
  </si>
  <si>
    <t>Efectivo al final del ejercicio</t>
  </si>
  <si>
    <t>NOTAS A LOS ESTADOS FINANCIEROS CORRESPONDIENTES AL EJERCICIO</t>
  </si>
  <si>
    <t>Presentadas en forma comparativa con igual al ejercicio anterior</t>
  </si>
  <si>
    <t>NOTA 1 – DESCRIPCIÓN DE LA NATURALEZA Y DEL NEGOCIO DE LA COMPAÑÍA</t>
  </si>
  <si>
    <t>Antecedentes de la sociedad: naturaleza jurídica, antecedentes sobre la constitución de la sociedad y reformas estatutarias, actividad principal y secundarias.</t>
  </si>
  <si>
    <r>
      <rPr>
        <b/>
        <sz val="10"/>
        <color rgb="FF000000"/>
        <rFont val="Arial"/>
        <family val="2"/>
        <charset val="1"/>
      </rPr>
      <t>KUROSU  &amp;  CIA  S.A.</t>
    </r>
    <r>
      <rPr>
        <sz val="10"/>
        <color rgb="FF000000"/>
        <rFont val="Arial"/>
        <family val="2"/>
        <charset val="1"/>
      </rPr>
      <t xml:space="preserve">  fue  constituida  por  Escritura  Pública  Nº  138  de  fecha  24  de  octubre  de  1975 pasada ante el  Escribano Público Luís Manuel  Brunstein. Los Estatutos Sociales fueron aprobados, y reconocida su personería jurídica, por Decreto del Poder Ejecutivo Nº 20.400 de fecha 27 de enero de 1976; inscripta en el Registro Público de Comercio bajo el Nº 657 al folio 3.406 y siguientes, Sección Contratos,  Serie  “B”,  en  fecha  15  de  junio  de  1989.  El  contrato  social  originario  tuvo  las  siguientes modificaciones:</t>
    </r>
  </si>
  <si>
    <r>
      <rPr>
        <sz val="10"/>
        <rFont val="Arial"/>
        <family val="2"/>
        <charset val="1"/>
      </rPr>
      <t xml:space="preserve">Por Escritura Pública N° </t>
    </r>
    <r>
      <rPr>
        <b/>
        <sz val="10"/>
        <rFont val="Arial"/>
        <family val="2"/>
        <charset val="1"/>
      </rPr>
      <t xml:space="preserve">398 </t>
    </r>
    <r>
      <rPr>
        <sz val="10"/>
        <rFont val="Arial"/>
        <family val="2"/>
        <charset val="1"/>
      </rPr>
      <t>de fecha 21 de diciembre de 2020, pasada ante la N.P. Fanny Kiyomi Moriya Ishibashi, inscripta en el Registro de Personas</t>
    </r>
  </si>
  <si>
    <t>Jurídicas y Asociaciones, bajo la Matrícula Jurídica N° 34270, Serie Comercial, bajo el N° 01, folio 01, el 13 de abril de 2021; y en el Registro Público de</t>
  </si>
  <si>
    <t>Comercio, bajo la Matrícula N° 34821, Serie Comercial, bajo el N° 01 Folio 01-15, el 13 de abril de 2021.</t>
  </si>
  <si>
    <r>
      <rPr>
        <sz val="10"/>
        <rFont val="Arial"/>
        <family val="2"/>
        <charset val="1"/>
      </rPr>
      <t xml:space="preserve">Por Escritura Pública N° </t>
    </r>
    <r>
      <rPr>
        <b/>
        <sz val="10"/>
        <rFont val="Arial"/>
        <family val="2"/>
        <charset val="1"/>
      </rPr>
      <t xml:space="preserve">340 </t>
    </r>
    <r>
      <rPr>
        <sz val="10"/>
        <rFont val="Arial"/>
        <family val="2"/>
        <charset val="1"/>
      </rPr>
      <t>de fecha 23 de agosto de 2021, pasada ante la N.P. Fanny Kiyomi Moriya Ishibashi, inscripta en el Registro de Personas</t>
    </r>
  </si>
  <si>
    <t>Jurídicas y Asociaciones, bajo la Matrícula Jurídica N° 34821, Serie Comercial, bajo el N° 02, folio 18-23, el  08 de octubre de 2021; y en el Registro Público de</t>
  </si>
  <si>
    <t>Comercio, bajo la Matrícula N° 34821, Serie Comercial, bajo el N° 02 Folio 18-23, el 08 de octubre de 2021.</t>
  </si>
  <si>
    <r>
      <rPr>
        <sz val="10"/>
        <color rgb="FF00000A"/>
        <rFont val="Arial"/>
        <family val="2"/>
        <charset val="1"/>
      </rPr>
      <t xml:space="preserve">Por Escritura Pública N° </t>
    </r>
    <r>
      <rPr>
        <b/>
        <sz val="10"/>
        <color rgb="FF00000A"/>
        <rFont val="Arial"/>
        <family val="2"/>
        <charset val="1"/>
      </rPr>
      <t>151</t>
    </r>
    <r>
      <rPr>
        <sz val="10"/>
        <color rgb="FF00000A"/>
        <rFont val="Arial"/>
        <family val="2"/>
        <charset val="1"/>
      </rPr>
      <t xml:space="preserve"> de fecha 08 de junio de 2022, pasada ante la N.P. Fanny Kiyomi Moriya Ishibashi, inscripta en el Registro de Personas </t>
    </r>
  </si>
  <si>
    <t>Jurídicas y Asociaciones, bajo la Matrícula Jurídica N° 34821, Serie Comercial, bajo el N° 03, folio 24, el 22 de agosto de 2022</t>
  </si>
  <si>
    <r>
      <rPr>
        <sz val="10"/>
        <color rgb="FF00000A"/>
        <rFont val="Arial"/>
        <family val="2"/>
        <charset val="1"/>
      </rPr>
      <t xml:space="preserve">Por escritura Pública </t>
    </r>
    <r>
      <rPr>
        <b/>
        <sz val="10"/>
        <color rgb="FF00000A"/>
        <rFont val="Arial"/>
        <family val="2"/>
        <charset val="1"/>
      </rPr>
      <t>N° 52</t>
    </r>
    <r>
      <rPr>
        <sz val="10"/>
        <color rgb="FF00000A"/>
        <rFont val="Arial"/>
        <family val="2"/>
        <charset val="1"/>
      </rPr>
      <t xml:space="preserve"> de fecha 12 de setiembre de 2023, pasada ante la N.P. Patricia Elizabeth Andino Báez, inscripta en la Dirección General de los </t>
    </r>
  </si>
  <si>
    <t>Registros Públicos Sección Personas Jurídicas y Comercio, bajo la Matrícula Jurídica N° 34821, Serie Comercial, bajo el N° 4 Folio 41, el 26 de setiembre</t>
  </si>
  <si>
    <t>de 2023.</t>
  </si>
  <si>
    <r>
      <rPr>
        <sz val="10"/>
        <color rgb="FF000000"/>
        <rFont val="Arial"/>
        <family val="2"/>
        <charset val="1"/>
      </rPr>
      <t xml:space="preserve">Por escritura Pública </t>
    </r>
    <r>
      <rPr>
        <b/>
        <sz val="10"/>
        <color rgb="FF000000"/>
        <rFont val="Arial"/>
        <family val="2"/>
        <charset val="1"/>
      </rPr>
      <t xml:space="preserve">N° 20 </t>
    </r>
    <r>
      <rPr>
        <sz val="10"/>
        <color rgb="FF000000"/>
        <rFont val="Arial"/>
        <family val="2"/>
        <charset val="1"/>
      </rPr>
      <t xml:space="preserve">de fecha 20 de agosto de 2024, pasada ante la N.P. Patricia Elizabeth Andino Báez, inscripta en la Dirección General de los </t>
    </r>
  </si>
  <si>
    <t>Registros Públicos Sección Personas Jurídicas y Comercio, bajo la Matrícula Jurídica N° 34821, Serie Comercial, bajo el N° 5 Folio 57-72, el 06 de setiembre de 2024.</t>
  </si>
  <si>
    <t>NOTA 2 - RESUMEN DE LAS PRINCIPALES POLÍTICAS CONTABLES</t>
  </si>
  <si>
    <t xml:space="preserve">a.   Bases de contabilización: </t>
  </si>
  <si>
    <t>La sociedad prepara sus estados financieros siguiendo los criterios de las Normas de Información Financiera (NIF) emitidas por el Consejo de Contadores Públicos del Paraguay, en base a los costos históricos, a excepción de los activos y pasivos en moneda extranjera y las propiedades, planta y equipo según se explica en los puntos c) y h), no reconoce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t>
  </si>
  <si>
    <t>a.1. Declaración de cumplimiento:</t>
  </si>
  <si>
    <r>
      <rPr>
        <sz val="9"/>
        <color rgb="FF000000"/>
        <rFont val="Arial"/>
        <family val="2"/>
        <charset val="1"/>
      </rPr>
      <t xml:space="preserve">Los presentes estados financieros por el ejercicio terminado al 31 de marzo del 2025 que se presentan en forma comparativa al 31 de diciembre del 2024 han sido preparados de conformidad con las Normas de Información Financiera </t>
    </r>
    <r>
      <rPr>
        <b/>
        <sz val="9"/>
        <color rgb="FF000000"/>
        <rFont val="Arial"/>
        <family val="2"/>
        <charset val="1"/>
      </rPr>
      <t>(NIF)</t>
    </r>
    <r>
      <rPr>
        <sz val="9"/>
        <color rgb="FF000000"/>
        <rFont val="Arial"/>
        <family val="2"/>
        <charset val="1"/>
      </rPr>
      <t>, emitidas por el Consejo de Contadores Públicos del Paraguay. La aplicación de las (NIF) no implicó cambios en la valuación de los activos y pasivos de la Sociedad.</t>
    </r>
  </si>
  <si>
    <t>a.2. Formatos de los estados financieros:</t>
  </si>
  <si>
    <r>
      <rPr>
        <sz val="9"/>
        <color rgb="FF000000"/>
        <rFont val="Arial"/>
        <family val="2"/>
        <charset val="1"/>
      </rPr>
      <t xml:space="preserve">El ejercicio fiscal de la Sociedad comienza el 1 de enero y finaliza el 31 de diciembre de cada año.
La exposición de los estados financieros según el modelo adoptado es consistente con la </t>
    </r>
    <r>
      <rPr>
        <b/>
        <sz val="9"/>
        <color rgb="FF000000"/>
        <rFont val="Arial"/>
        <family val="2"/>
        <charset val="1"/>
      </rPr>
      <t xml:space="preserve">NIF 2 </t>
    </r>
    <r>
      <rPr>
        <sz val="9"/>
        <color rgb="FF000000"/>
        <rFont val="Arial"/>
        <family val="2"/>
        <charset val="1"/>
      </rPr>
      <t xml:space="preserve">– Presentación de estados financieros. </t>
    </r>
  </si>
  <si>
    <t xml:space="preserve">*        El Estado  de situación patrimonial fue preparado clasificando los activos y pasivos  en corriente y no corriente respectivamente. </t>
  </si>
  <si>
    <t>*        Los ingresos y los egresos del Estado de Resultados fueron reconocidos en base a su devengamiento.</t>
  </si>
  <si>
    <t>*        El  Estado de evolución del patrimonio neto fue preparado mostrando por separado la utilidad (pérdida) del ejercicio</t>
  </si>
  <si>
    <r>
      <rPr>
        <sz val="9"/>
        <color rgb="FF000000"/>
        <rFont val="Arial"/>
        <family val="2"/>
        <charset val="1"/>
      </rPr>
      <t>*        El Estado de flujos de efectivo fue preparado empleando el  método directo atendiendo a las definiciones  mencionadas  en la</t>
    </r>
    <r>
      <rPr>
        <b/>
        <sz val="9"/>
        <color rgb="FF000000"/>
        <rFont val="Arial"/>
        <family val="2"/>
        <charset val="1"/>
      </rPr>
      <t xml:space="preserve"> NIF 4</t>
    </r>
    <r>
      <rPr>
        <sz val="9"/>
        <color rgb="FF000000"/>
        <rFont val="Arial"/>
        <family val="2"/>
        <charset val="1"/>
      </rPr>
      <t xml:space="preserve">  Estado de Flujo de efectivo.</t>
    </r>
  </si>
  <si>
    <t>a.3.Nuevo pronunciamiento contable:</t>
  </si>
  <si>
    <r>
      <rPr>
        <sz val="9"/>
        <color rgb="FF000000"/>
        <rFont val="Arial"/>
        <family val="2"/>
        <charset val="1"/>
      </rPr>
      <t xml:space="preserve"> La firma </t>
    </r>
    <r>
      <rPr>
        <b/>
        <sz val="9"/>
        <color rgb="FF000000"/>
        <rFont val="Arial"/>
        <family val="2"/>
        <charset val="1"/>
      </rPr>
      <t>KUROSU &amp; CIA. S.A</t>
    </r>
    <r>
      <rPr>
        <sz val="9"/>
        <color rgb="FF000000"/>
        <rFont val="Arial"/>
        <family val="2"/>
        <charset val="1"/>
      </rPr>
      <t>. tiene previsto adoptar los pronunciamientos contables que les corresponda en su respectiva fecha de aplicación y no anticipadamente. Norma de Información Financiera N.º 23 Emitida por el Consejo de Contadores Público del Paraguay.</t>
    </r>
  </si>
  <si>
    <t>a.4.	Moneda de Presentación:</t>
  </si>
  <si>
    <t>Los estados financieros al 31 de Marzo del 2025 y en forma comparativa al 31 de diciembre del 2024 son presentados y expresado en guaraníes.</t>
  </si>
  <si>
    <t>b.   Uso de estimaciones contables: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</si>
  <si>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</si>
  <si>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</si>
  <si>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valúan a los tipos de cambio vigentes a la fecha de cierre del ejercicio según Decreto 3182/2019 Artículo 29.- Valuación de la Moneda Extranjera. Las diferencias de cambio originadas por fluctuaciones en los tipos de cambio producidos entre las fechas de concertación de las operaciones y su liquidación o valuación al cierre del ejercicio son reconocidas en el estado de resultados como ganancias o pérdidas. A la fecha de emisión de estos Estados Financieros, el tipo de cambio de la moneda extranjera del Activo al 31/03/2025: US$., es Gs.7.974 y euro es Gs. 8.611 – Pasivo US$, es Gs.7.984 y euro es Gs. 8.623. Activo al 31/12/2024: US$., es Gs.7.812 y euro es Gs. 8.125 – Pasivo US$, es Gs.7.843 y euro es Gs. 8.159.</t>
  </si>
  <si>
    <t>Indicar moneda</t>
  </si>
  <si>
    <t>Simbología según ISO 4217</t>
  </si>
  <si>
    <t>Guaraníes.</t>
  </si>
  <si>
    <t>Activos</t>
  </si>
  <si>
    <t>Dólares estadounidenses</t>
  </si>
  <si>
    <t>Usd</t>
  </si>
  <si>
    <t>Pasivos</t>
  </si>
  <si>
    <t>Posición neta</t>
  </si>
  <si>
    <t>Euro</t>
  </si>
  <si>
    <t>€</t>
  </si>
  <si>
    <t>Cotización  Gs.</t>
  </si>
  <si>
    <t>Cotización Gs.</t>
  </si>
  <si>
    <t xml:space="preserve">Activos </t>
  </si>
  <si>
    <t xml:space="preserve">Pasivos </t>
  </si>
  <si>
    <t xml:space="preserve">Al 31 de marzo del 2025 se refleja en los Estados Financieros, el tipo de cambio de la moneda extranjera: Activo: Usd. Gs. 7.974 Activo: euro. Gs. 8.611.- Pasivo: Usd. Gs.7.984 Pasivo: euro. Gs. 8.623.- Al 31 de diciembre de 2024 se refleja en los Estados Financieros, el tipo de cambio de la moneda extranjera:Activo: Usd. Gs. 7.812 activo: euro. Gs. 8.125.-Pasivo: Usd. Gs.7.843 Pasivo: euro. Gs. 8.159.-Sumando el activo y el pasivo de ambas monedas extranjera se refleja una suba del 12,53% en forma comparativa al ejercicio anterior.
</t>
  </si>
  <si>
    <t>d. Efectivo y equivalentes de efectivo:</t>
  </si>
  <si>
    <t>Se considerarán dentro del concepto de efectivo los saldos en efectivo, disponibilidades en cuentas bancarias y toda inversión de muy alta liquidez, con vencimiento originalmente pactado no superior a tres meses.</t>
  </si>
  <si>
    <t>e.   Inversiones:</t>
  </si>
  <si>
    <r>
      <rPr>
        <sz val="9"/>
        <color rgb="FF000000"/>
        <rFont val="Arial"/>
        <family val="2"/>
        <charset val="1"/>
      </rPr>
      <t>Las inversiones temporales se valúan de acuerdo a los siguientes criterios de valuación:
 Colocaciones financieras en moneda local: a su valor nominal más los intereses devengados al cierre del año/período.</t>
    </r>
    <r>
      <rPr>
        <b/>
        <sz val="9"/>
        <color rgb="FF000000"/>
        <rFont val="Arial"/>
        <family val="2"/>
        <charset val="1"/>
      </rPr>
      <t xml:space="preserve">Nota 4
</t>
    </r>
    <r>
      <rPr>
        <sz val="9"/>
        <color rgb="FF000000"/>
        <rFont val="Arial"/>
        <family val="2"/>
        <charset val="1"/>
      </rPr>
      <t> Colocaciones financieras en moneda extranjera: a su valor de cotización al cierre del año/período más intereses devengados a ese momento.</t>
    </r>
    <r>
      <rPr>
        <b/>
        <sz val="9"/>
        <color rgb="FF000000"/>
        <rFont val="Arial"/>
        <family val="2"/>
        <charset val="1"/>
      </rPr>
      <t xml:space="preserve">Nota 4
</t>
    </r>
    <r>
      <rPr>
        <sz val="9"/>
        <color rgb="FF000000"/>
        <rFont val="Arial"/>
        <family val="2"/>
        <charset val="1"/>
      </rPr>
      <t xml:space="preserve">
</t>
    </r>
  </si>
  <si>
    <r>
      <rPr>
        <b/>
        <sz val="9"/>
        <color rgb="FF000000"/>
        <rFont val="Arial"/>
        <family val="2"/>
        <charset val="1"/>
      </rPr>
      <t xml:space="preserve">1- </t>
    </r>
    <r>
      <rPr>
        <b/>
        <u/>
        <sz val="9"/>
        <color rgb="FF000000"/>
        <rFont val="Arial"/>
        <family val="2"/>
        <charset val="1"/>
      </rPr>
      <t>Colocaciones financieras en moneda local:</t>
    </r>
    <r>
      <rPr>
        <b/>
        <sz val="9"/>
        <color rgb="FF000000"/>
        <rFont val="Arial"/>
        <family val="2"/>
        <charset val="1"/>
      </rPr>
      <t xml:space="preserve"> </t>
    </r>
    <r>
      <rPr>
        <sz val="9"/>
        <color rgb="FF000000"/>
        <rFont val="Arial"/>
        <family val="2"/>
        <charset val="1"/>
      </rPr>
      <t xml:space="preserve">A su valor  más los intereses devengados al cierre del mes y año </t>
    </r>
    <r>
      <rPr>
        <b/>
        <sz val="9"/>
        <color rgb="FF000000"/>
        <rFont val="Arial"/>
        <family val="2"/>
        <charset val="1"/>
      </rPr>
      <t>(Nota 4)</t>
    </r>
  </si>
  <si>
    <r>
      <rPr>
        <b/>
        <sz val="9"/>
        <color rgb="FF000000"/>
        <rFont val="Arial"/>
        <family val="2"/>
        <charset val="1"/>
      </rPr>
      <t>2-</t>
    </r>
    <r>
      <rPr>
        <sz val="9"/>
        <color rgb="FF000000"/>
        <rFont val="Arial"/>
        <family val="2"/>
        <charset val="1"/>
      </rPr>
      <t xml:space="preserve"> </t>
    </r>
    <r>
      <rPr>
        <b/>
        <u/>
        <sz val="9"/>
        <color rgb="FF000000"/>
        <rFont val="Arial"/>
        <family val="2"/>
        <charset val="1"/>
      </rPr>
      <t>Colocaciones financieras en moneda extranjera</t>
    </r>
    <r>
      <rPr>
        <b/>
        <sz val="9"/>
        <color rgb="FF000000"/>
        <rFont val="Arial"/>
        <family val="2"/>
        <charset val="1"/>
      </rPr>
      <t>:</t>
    </r>
    <r>
      <rPr>
        <sz val="9"/>
        <color rgb="FF000000"/>
        <rFont val="Arial"/>
        <family val="2"/>
        <charset val="1"/>
      </rPr>
      <t xml:space="preserve"> A su valor de cotización al cierre del mes y año mas  interes devengados a ese momento</t>
    </r>
    <r>
      <rPr>
        <b/>
        <sz val="9"/>
        <color rgb="FF000000"/>
        <rFont val="Arial"/>
        <family val="2"/>
        <charset val="1"/>
      </rPr>
      <t xml:space="preserve"> (Nota 4) </t>
    </r>
  </si>
  <si>
    <t xml:space="preserve">Las inversiones permanentes se valúan de acuerdo a los siguientes criterios de valuación:
</t>
  </si>
  <si>
    <r>
      <rPr>
        <b/>
        <u/>
        <sz val="9"/>
        <color rgb="FF000000"/>
        <rFont val="Arial"/>
        <family val="2"/>
        <charset val="1"/>
      </rPr>
      <t>3-Las inversiones no corrientes en sociedades:</t>
    </r>
    <r>
      <rPr>
        <sz val="9"/>
        <color rgb="FF000000"/>
        <rFont val="Arial"/>
        <family val="2"/>
        <charset val="1"/>
      </rPr>
      <t xml:space="preserve"> No ejerce el control, se valúan en su valor de costo de adquisión.</t>
    </r>
    <r>
      <rPr>
        <b/>
        <sz val="9"/>
        <color rgb="FF000000"/>
        <rFont val="Arial"/>
        <family val="2"/>
        <charset val="1"/>
      </rPr>
      <t>(Nota 8)</t>
    </r>
  </si>
  <si>
    <t>f. Provisión para cuentas de dudoso cobro/incobrables:</t>
  </si>
  <si>
    <t>f.1. Castigos sobre Malos Créditos:</t>
  </si>
  <si>
    <t xml:space="preserve">Al cierre del ejercicio fiscal, la sociedad aplica para los Castigos sobre Malos crédito según Decreto 3182/2019  el Art. 60 conforme a la reglamentación de la DNIT. 
</t>
  </si>
  <si>
    <r>
      <rPr>
        <b/>
        <sz val="9"/>
        <color rgb="FF000000"/>
        <rFont val="Arial"/>
        <family val="2"/>
        <charset val="1"/>
      </rPr>
      <t>f.2.</t>
    </r>
    <r>
      <rPr>
        <b/>
        <u/>
        <sz val="9"/>
        <color rgb="FF000000"/>
        <rFont val="Arial"/>
        <family val="2"/>
        <charset val="1"/>
      </rPr>
      <t xml:space="preserve"> Provisión para incobrables: </t>
    </r>
    <r>
      <rPr>
        <sz val="9"/>
        <color rgb="FF000000"/>
        <rFont val="Arial"/>
        <family val="2"/>
        <charset val="1"/>
      </rPr>
      <t>Al cierre del ejercicio fiscal la sociedad realiza la provisión para castigos sobre malos créditos aplicando un % para garantizar contigencias futuras, se asume como gastos no deducibles según Decreto 3182/2019 Art.60 conforme a la reglamentación de la DNIT.</t>
    </r>
  </si>
  <si>
    <t>g. Inventarios:</t>
  </si>
  <si>
    <r>
      <rPr>
        <sz val="9"/>
        <color rgb="FF000000"/>
        <rFont val="Arial"/>
        <family val="2"/>
        <charset val="1"/>
      </rPr>
      <t xml:space="preserve">Se valúan las existencias de los bienes de cambio utilizando el; PPP (Precio Promedio Ponderado); o identificación específica </t>
    </r>
    <r>
      <rPr>
        <b/>
        <sz val="9"/>
        <color rgb="FF000000"/>
        <rFont val="Arial"/>
        <family val="2"/>
        <charset val="1"/>
      </rPr>
      <t>NIF 12 (Nota 7)</t>
    </r>
    <r>
      <rPr>
        <sz val="9"/>
        <color rgb="FF000000"/>
        <rFont val="Arial"/>
        <family val="2"/>
        <charset val="1"/>
      </rPr>
      <t xml:space="preserve"> y se aplica las reglamentaciones tributarias vigentes según: Ley 6380/2019 según articulo 9 primero y segundo, párrafos y el decreto 3182/2019 según los artículos 17 y 18.-</t>
    </r>
  </si>
  <si>
    <t>h. Provisiones para desvalorización y deterioro de inventario:</t>
  </si>
  <si>
    <t>h.1. Las Bajas del  Inventarios:</t>
  </si>
  <si>
    <t xml:space="preserve">Se realizaron conforme al Decreto 3182/2019 Artículo 58. Reglamenta: Num. 11) del Art. 15 de la Ley 6380/2019. </t>
  </si>
  <si>
    <r>
      <rPr>
        <b/>
        <u/>
        <sz val="9"/>
        <color rgb="FF000000"/>
        <rFont val="Arial"/>
        <family val="2"/>
        <charset val="1"/>
      </rPr>
      <t>h.2. Provisión de Obsolescencia:</t>
    </r>
    <r>
      <rPr>
        <sz val="9"/>
        <color rgb="FF000000"/>
        <rFont val="Arial"/>
        <family val="2"/>
        <charset val="1"/>
      </rPr>
      <t xml:space="preserve"> </t>
    </r>
  </si>
  <si>
    <r>
      <rPr>
        <sz val="9"/>
        <color rgb="FF000000"/>
        <rFont val="Arial"/>
        <family val="2"/>
        <charset val="1"/>
      </rPr>
      <t xml:space="preserve">A efectos de reflejar la pérdida del valor del inventario de bienes de cambio, motivados por razones de obsolescencia comercial o técnica respectivamente. En vista de eso la sociedad provisiona el 0,05% de los saldos mensuales de repuestos, lubricantes, accesorios y el 0,20% de los saldos mensuales en máquinas usadas y equipos de construcción usadas, conforme al decreto 3182/2019 según artículo 61.- Las provisiones se asume en el ejercicio como Gastos No Deducibles. </t>
    </r>
    <r>
      <rPr>
        <b/>
        <sz val="9"/>
        <color rgb="FF000000"/>
        <rFont val="Arial"/>
        <family val="2"/>
        <charset val="1"/>
      </rPr>
      <t xml:space="preserve">(Nota 7) </t>
    </r>
  </si>
  <si>
    <t>i. Propiedades, Planta y Equipo:</t>
  </si>
  <si>
    <r>
      <rPr>
        <sz val="9"/>
        <color rgb="FF000000"/>
        <rFont val="Arial"/>
        <family val="2"/>
        <charset val="1"/>
      </rPr>
      <t xml:space="preserve">A partir del presente ejercicio los bienes se hallan valuados a sus costos de adquisición y se le asignara valores residuales a cada tipo  o clase de activo fijo depreciable, el cual no podrá ser superior al 20% de su valor de costo. Los bienes del activo fijo serán depreciados de acuerdo a la distribución sistemática del degaste o deterioro que experimente cada bien, el cual se deberá considerar la estimación de vida útil según Decreto N° 3182/2019 Artículo 104. de la Subsecretaria de Estado de Tributación </t>
    </r>
    <r>
      <rPr>
        <b/>
        <sz val="9"/>
        <color rgb="FF000000"/>
        <rFont val="Arial"/>
        <family val="2"/>
        <charset val="1"/>
      </rPr>
      <t>(Nota 9.)</t>
    </r>
  </si>
  <si>
    <t>j. Reconocimiento de ingresos y egresos:</t>
  </si>
  <si>
    <t>Los ingresos y egresos son reconocidos en función de su devengamiento.</t>
  </si>
  <si>
    <r>
      <rPr>
        <b/>
        <u/>
        <sz val="9"/>
        <color rgb="FF000000"/>
        <rFont val="Arial"/>
        <family val="2"/>
        <charset val="1"/>
      </rPr>
      <t xml:space="preserve">K. Impuesto a la Renta Empresarial: </t>
    </r>
    <r>
      <rPr>
        <sz val="9"/>
        <color rgb="FF000000"/>
        <rFont val="Arial"/>
        <family val="2"/>
        <charset val="1"/>
      </rPr>
      <t>Conforme a la ley 6380/2019 Artículo 1.º Hecho Generador del impuesto a  la  renta Empresarial (IRE) se realiza el cálculo del Impuesto aplicando las reglamentaciones vigentes de la Administración Tributaria . Utilizando la tasa vigente del 10% según ley 6380/2019 Artículo 21. Tasa.</t>
    </r>
  </si>
  <si>
    <r>
      <rPr>
        <b/>
        <sz val="9"/>
        <color rgb="FF000000"/>
        <rFont val="Arial"/>
        <family val="2"/>
        <charset val="1"/>
      </rPr>
      <t>K.1.</t>
    </r>
    <r>
      <rPr>
        <b/>
        <u/>
        <sz val="9"/>
        <color rgb="FF000000"/>
        <rFont val="Arial"/>
        <family val="2"/>
        <charset val="1"/>
      </rPr>
      <t xml:space="preserve"> Impuesto Diferido</t>
    </r>
    <r>
      <rPr>
        <u/>
        <sz val="9"/>
        <color rgb="FF000000"/>
        <rFont val="Arial"/>
        <family val="2"/>
        <charset val="1"/>
      </rPr>
      <t>:</t>
    </r>
    <r>
      <rPr>
        <b/>
        <sz val="9"/>
        <color rgb="FF000000"/>
        <rFont val="Arial"/>
        <family val="2"/>
        <charset val="1"/>
      </rPr>
      <t xml:space="preserve">  </t>
    </r>
    <r>
      <rPr>
        <sz val="9"/>
        <color rgb="FF000000"/>
        <rFont val="Arial"/>
        <family val="2"/>
        <charset val="1"/>
      </rPr>
      <t>La sociedad  determina el impuesto a la renta IRE empresarial por el metodo de lo diferido, metodo del pasivo. El mencionado método establece la determinación de activos o pasivos impositivos diferidos netos basados en las diferencias temporales y temporarias, con cargo a la linea impuesto a la renta del  Estados de Resultados.</t>
    </r>
  </si>
  <si>
    <r>
      <rPr>
        <b/>
        <sz val="9"/>
        <color rgb="FF000000"/>
        <rFont val="Arial"/>
        <family val="2"/>
        <charset val="1"/>
      </rPr>
      <t xml:space="preserve">K.2. </t>
    </r>
    <r>
      <rPr>
        <b/>
        <u/>
        <sz val="9"/>
        <color rgb="FF000000"/>
        <rFont val="Arial"/>
        <family val="2"/>
        <charset val="1"/>
      </rPr>
      <t>Reserva Legal</t>
    </r>
    <r>
      <rPr>
        <u/>
        <sz val="9"/>
        <color rgb="FF000000"/>
        <rFont val="Arial"/>
        <family val="2"/>
        <charset val="1"/>
      </rPr>
      <t>:</t>
    </r>
    <r>
      <rPr>
        <sz val="9"/>
        <color rgb="FF000000"/>
        <rFont val="Arial"/>
        <family val="2"/>
        <charset val="1"/>
      </rPr>
      <t xml:space="preserve"> Se realiza conforme al Decreto 3182/2019 Artículo 66.- Reservas. Reglamenta: Art. 16 de la Ley. La reserva es calculada sobre el Resultado contable del ejercicio, deducido el importe del Impuesto y aplicando la tasa del 5%.
</t>
    </r>
    <r>
      <rPr>
        <b/>
        <sz val="9"/>
        <color rgb="FF000000"/>
        <rFont val="Arial"/>
        <family val="2"/>
        <charset val="1"/>
      </rPr>
      <t xml:space="preserve">
</t>
    </r>
  </si>
  <si>
    <t>Obs.: Revelar situación en el caso de contar con disponibilidad restringida</t>
  </si>
  <si>
    <t>NOTA 3 - EFECTIVO Y EQUIVALENTE DE EFECTIVO</t>
  </si>
  <si>
    <t>Expresado en guaranies</t>
  </si>
  <si>
    <t>La composición de la cuenta es la siguiente:</t>
  </si>
  <si>
    <t>Concepto</t>
  </si>
  <si>
    <t>Caja</t>
  </si>
  <si>
    <t>Recaudaciones a depositar</t>
  </si>
  <si>
    <t>Bancos Locales - Moneda local Guaraníes</t>
  </si>
  <si>
    <t>Bancos Locales - Moneda extranjera Dólares</t>
  </si>
  <si>
    <t>Bancos Locales - Moneda extranjera otros</t>
  </si>
  <si>
    <t>Bancos en el Extranjero - Moneda extranjera Dólares</t>
  </si>
  <si>
    <t>Cooperativa Chortitzer Komite Ltda. Guaranies</t>
  </si>
  <si>
    <t>NOTA 4 - INVERSIONES TEMPORALES</t>
  </si>
  <si>
    <t>Fondo Mutuo CADIEM –  Moneda Local Guaraníes</t>
  </si>
  <si>
    <t>Fondo Mutuo Sudameris Asset Management –  Moneda Local Guaraníes</t>
  </si>
  <si>
    <t xml:space="preserve">Fondo Mutuo BASA Capital - Moneda Extranjera Dólares </t>
  </si>
  <si>
    <t>Fondo Mutuo CADIEM – Moneda Extranjera Dólares</t>
  </si>
  <si>
    <t>Fondo Mutuo Sudameris Asset Management  - Moneda Extranjera Dólares</t>
  </si>
  <si>
    <t xml:space="preserve">Fondo Mutuo Puente Casa de Bolsa - Moneda Extranjera Dólares </t>
  </si>
  <si>
    <t>Detallar cartera vencida y no vencida por clientes locales, extranjeros y partes relacionadas</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</si>
  <si>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</si>
  <si>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NOTA  5 – CUENTAS POR COBRAR COMERCIALES</t>
  </si>
  <si>
    <t>Las cuentas a cobrar comerciales a corto plazo se integran como sigue:</t>
  </si>
  <si>
    <t>Composición de la cartera de créditos por ventas</t>
  </si>
  <si>
    <t>Deudores por ventas locales</t>
  </si>
  <si>
    <t>Moneda Local Guaraníes</t>
  </si>
  <si>
    <t>Situación</t>
  </si>
  <si>
    <t>Monto</t>
  </si>
  <si>
    <t xml:space="preserve">% Previsiones  sobre Cartera </t>
  </si>
  <si>
    <t>Moneda Extranjera Dólares</t>
  </si>
  <si>
    <t>A  Total Cartera no Vencida</t>
  </si>
  <si>
    <t>Cheques adelantados recibidos de clientes</t>
  </si>
  <si>
    <t>B. Total Cartera Vencida</t>
  </si>
  <si>
    <t>Composición Cartera Vencida</t>
  </si>
  <si>
    <t>Interes Por vencer</t>
  </si>
  <si>
    <t>Normal</t>
  </si>
  <si>
    <t>Deudores Varios</t>
  </si>
  <si>
    <t>En Gestión de Cobro</t>
  </si>
  <si>
    <t>En Gestión de Cobro Judicial</t>
  </si>
  <si>
    <t>Deudores Varios, John Deere C&amp; F / Agricola</t>
  </si>
  <si>
    <t xml:space="preserve">Otros Tarjetas </t>
  </si>
  <si>
    <t>Total de la cartera de créditos (A+B)</t>
  </si>
  <si>
    <t>Menos Previsiones</t>
  </si>
  <si>
    <t>(-) Total Previsiones</t>
  </si>
  <si>
    <t>TOTAL  NETO DE LA CARTERA DE CRÉDITOS</t>
  </si>
  <si>
    <t>Las cuentas a cobrar comerciales a largo plazo se integran como sigue:</t>
  </si>
  <si>
    <t>Observaciones</t>
  </si>
  <si>
    <t>Criterios de Clasificación utilizados</t>
  </si>
  <si>
    <t>De</t>
  </si>
  <si>
    <t>A</t>
  </si>
  <si>
    <t>2000 a más</t>
  </si>
  <si>
    <t>NOTA 6 - OTROS CRÉDITOS</t>
  </si>
  <si>
    <t>El rubro de otros créditos se compone como sigue:</t>
  </si>
  <si>
    <t>Corrientes</t>
  </si>
  <si>
    <t>No corrientes</t>
  </si>
  <si>
    <t>Anticipos a proveedores Locales</t>
  </si>
  <si>
    <t>Activos Por Impuestos Diferidos</t>
  </si>
  <si>
    <t>Anticipos a proveedores del Exterior</t>
  </si>
  <si>
    <t>Gastos pagados por adelantado</t>
  </si>
  <si>
    <t>Retención Impuesto a la Renta</t>
  </si>
  <si>
    <t>Retención IVA</t>
  </si>
  <si>
    <t>IVA Credito fiscal 10%</t>
  </si>
  <si>
    <t>IVA Credito por exportador</t>
  </si>
  <si>
    <t>Cuenta Corriente Fábrica Dolares</t>
  </si>
  <si>
    <t>Cuenta Corriente Fábrica EURO</t>
  </si>
  <si>
    <t>NOTA 7 – INVENTARIOS</t>
  </si>
  <si>
    <t>Los bienes de cambio están compuestos de la siguiente manera:</t>
  </si>
  <si>
    <t>Mercaderías</t>
  </si>
  <si>
    <t>(-) Provisión para desvalorización y deterioro de inventario</t>
  </si>
  <si>
    <t xml:space="preserve">Total </t>
  </si>
  <si>
    <t>Nota 8 - INVERSIONES EN ASOCIADAS</t>
  </si>
  <si>
    <r>
      <rPr>
        <sz val="11"/>
        <rFont val="Calibri"/>
        <family val="2"/>
        <charset val="1"/>
      </rPr>
      <t>Las inversiones que mantiene</t>
    </r>
    <r>
      <rPr>
        <b/>
        <sz val="11"/>
        <rFont val="Calibri"/>
        <family val="2"/>
        <charset val="1"/>
      </rPr>
      <t xml:space="preserve"> KUROSU &amp; CIA. S.A</t>
    </r>
    <r>
      <rPr>
        <sz val="11"/>
        <rFont val="Calibri"/>
        <family val="2"/>
        <charset val="1"/>
      </rPr>
      <t xml:space="preserve">. en la sociedad </t>
    </r>
    <r>
      <rPr>
        <b/>
        <sz val="11"/>
        <rFont val="Calibri"/>
        <family val="2"/>
        <charset val="1"/>
      </rPr>
      <t>PIONEROS DEL CHACO S.A</t>
    </r>
    <r>
      <rPr>
        <sz val="11"/>
        <rFont val="Calibri"/>
        <family val="2"/>
        <charset val="1"/>
      </rPr>
      <t xml:space="preserve">. No reune los requisitos para ser considerada </t>
    </r>
    <r>
      <rPr>
        <b/>
        <sz val="11"/>
        <rFont val="Calibri"/>
        <family val="2"/>
        <charset val="1"/>
      </rPr>
      <t>INVERSIONES EN ASOCIADAS. Dicha Inversión se expone en este rubro por no existir en el modelo un rubro de INVERSIONES PERMANENTES.</t>
    </r>
  </si>
  <si>
    <t>Ejercicios</t>
  </si>
  <si>
    <t>Total Inversión</t>
  </si>
  <si>
    <t>&lt;-- Indicar Monto</t>
  </si>
  <si>
    <t>a) Datos sobre la sociedad:</t>
  </si>
  <si>
    <t>a) Datos sobre la inversión:</t>
  </si>
  <si>
    <t>Nombre de Sociedad</t>
  </si>
  <si>
    <t>RUC</t>
  </si>
  <si>
    <t>Total Patrimonio neto</t>
  </si>
  <si>
    <t>Total del resultado</t>
  </si>
  <si>
    <t>Participación sobre los votos (%)</t>
  </si>
  <si>
    <t>Total Inversión (en Gs)</t>
  </si>
  <si>
    <t>Participación sobre el Patrimonio Neto (%)</t>
  </si>
  <si>
    <t>Total valuación patrimonial proporcional</t>
  </si>
  <si>
    <t>Resultado sobre inversiones</t>
  </si>
  <si>
    <t>Adquisión Acciones de Pioneros del Chaco S.A.</t>
  </si>
  <si>
    <t>80074487-0</t>
  </si>
  <si>
    <t>Obs.:</t>
  </si>
  <si>
    <t>Incluir aclaraciones en los siguientes casos:</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</si>
  <si>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</si>
  <si>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</si>
  <si>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</si>
  <si>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Ver adicionalmente Norma de Información Financiera N° 11 Propiedades, planta y equipo</t>
  </si>
  <si>
    <t>NOTA 9 - PROPIEDADES, PLANTA Y EQUIPO - NETO</t>
  </si>
  <si>
    <t>Expresado en  guaranies</t>
  </si>
  <si>
    <t xml:space="preserve">Descripcion de Bienes </t>
  </si>
  <si>
    <t>Costo histórico revaluado al inicio del año</t>
  </si>
  <si>
    <t>Adquisiciones</t>
  </si>
  <si>
    <t>Bajas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</si>
  <si>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</si>
  <si>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</si>
  <si>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</si>
  <si>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</si>
  <si>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</si>
  <si>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</si>
  <si>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</si>
  <si>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Valor neto contable</t>
  </si>
  <si>
    <t>Terrenos</t>
  </si>
  <si>
    <t>Edificios</t>
  </si>
  <si>
    <t>Rodados</t>
  </si>
  <si>
    <t xml:space="preserve">Muebles y Utiles </t>
  </si>
  <si>
    <t xml:space="preserve">Maquinarias y Equipos </t>
  </si>
  <si>
    <t>Herramientas del Taller</t>
  </si>
  <si>
    <t>Maquinarias del Taller</t>
  </si>
  <si>
    <t>Equipos de Informática</t>
  </si>
  <si>
    <t xml:space="preserve">Equipos de Comunicación </t>
  </si>
  <si>
    <t>Edificios en Construcción</t>
  </si>
  <si>
    <t>Bienes en Gestión de Compras</t>
  </si>
  <si>
    <t>Mejoras en Predios de Terceros</t>
  </si>
  <si>
    <t>Totales</t>
  </si>
  <si>
    <t>NOTA 10 – ACTIVOS DISPONIBLES PARA LA VENTA</t>
  </si>
  <si>
    <t>Propiedad, planta y equipo</t>
  </si>
  <si>
    <t>(Detallar bienes de uso)</t>
  </si>
  <si>
    <t>(Detallar activos intangibles)</t>
  </si>
  <si>
    <t>Inversiones</t>
  </si>
  <si>
    <t>(Detallar Inversiones</t>
  </si>
  <si>
    <t>Total general</t>
  </si>
  <si>
    <t>NOTA 11 – ACTIVOS INTANGIBLES</t>
  </si>
  <si>
    <t>NOTA 12 – GOODWILL</t>
  </si>
  <si>
    <t>NOTA 13 – CUENTAS POR PAGAR COMERCIALES</t>
  </si>
  <si>
    <t>Las cuentas por pagar comerciales se componen como sigue:</t>
  </si>
  <si>
    <t>Indicación de Moneda</t>
  </si>
  <si>
    <t>Otros proveedores del exterior</t>
  </si>
  <si>
    <t>USD</t>
  </si>
  <si>
    <t>EUR</t>
  </si>
  <si>
    <t>Proveedores locales</t>
  </si>
  <si>
    <t>PYG</t>
  </si>
  <si>
    <t>Acreedores Varios  del Exterior</t>
  </si>
  <si>
    <t>Total cuentas a pagar por comerciales</t>
  </si>
  <si>
    <t>No Corrientes</t>
  </si>
  <si>
    <t>NOTA 14 –  PRESTAMOS A CORTO Y LARGO PLAZO</t>
  </si>
  <si>
    <t>(a) Equivalentes al tipo de cambio referencial de la fecha de presentacion</t>
  </si>
  <si>
    <t>(b) Obligaciones garantizadas por valor de guaraníes.</t>
  </si>
  <si>
    <t>Préstamos de Entidades Locales</t>
  </si>
  <si>
    <t>Vencimiento</t>
  </si>
  <si>
    <t>Símbolo de Moneda</t>
  </si>
  <si>
    <t>Moneda</t>
  </si>
  <si>
    <t>Importe en Gs</t>
  </si>
  <si>
    <t>Tipo de Garantía</t>
  </si>
  <si>
    <t>Importe en Gs.</t>
  </si>
  <si>
    <t>Nombre de la entidad financiera</t>
  </si>
  <si>
    <t>BANCO ITAU PARAGUAY S.A</t>
  </si>
  <si>
    <t>Aval</t>
  </si>
  <si>
    <t>BANCOP S.A.</t>
  </si>
  <si>
    <t>INTERFISA BANCO SAECA</t>
  </si>
  <si>
    <t>FAMILIAR S.A.E.C.A.</t>
  </si>
  <si>
    <t>CONTINENTAL SAECA</t>
  </si>
  <si>
    <t>BANCO GNB PY S.A.</t>
  </si>
  <si>
    <t>-</t>
  </si>
  <si>
    <t>A sóla firma</t>
  </si>
  <si>
    <t>FINANCIERA PYO. JAPONESA SAECA</t>
  </si>
  <si>
    <t>SUDAMERIS BANK S.A.E.C.A.</t>
  </si>
  <si>
    <t>Intereses préstamos entidades financieras a pagar</t>
  </si>
  <si>
    <t>ITAU PARAGUAY S.A.</t>
  </si>
  <si>
    <t>BANCO FAMILIAR S.A.E.C.A.</t>
  </si>
  <si>
    <t>GNB PARAGUAY S.A.</t>
  </si>
  <si>
    <t>(-) Intereses a Devengar</t>
  </si>
  <si>
    <t>Préstamos de Entidades en el Exterior</t>
  </si>
  <si>
    <t xml:space="preserve">JOHN DEERE FINANCIAL CHILE SPA     </t>
  </si>
  <si>
    <t>A sola Firma</t>
  </si>
  <si>
    <t>BNDES BANCO SUDAMERIS BANK S.A.E.C.A.</t>
  </si>
  <si>
    <t>BNDES ITAU PARAGUAY S.A.</t>
  </si>
  <si>
    <t>A sola firma</t>
  </si>
  <si>
    <t>Deudas bursátiles</t>
  </si>
  <si>
    <t>PYKURO2F1322</t>
  </si>
  <si>
    <t>PYKURO2F1330</t>
  </si>
  <si>
    <t>Intereses deudas bursátiles a pagar</t>
  </si>
  <si>
    <t>PYKURO1F4210</t>
  </si>
  <si>
    <t>PYKURO1F42202</t>
  </si>
  <si>
    <t>PYKURO2F6800</t>
  </si>
  <si>
    <t>PYKURO2F6792</t>
  </si>
  <si>
    <t>PYKURO2F6793</t>
  </si>
  <si>
    <t>(-) Intereses a Devengar Bonos</t>
  </si>
  <si>
    <t xml:space="preserve"> BANCO SUDAMERIS BANK S.A.E.C.A.</t>
  </si>
  <si>
    <t>Importe (miles de Gs)</t>
  </si>
  <si>
    <t>Tipo de garantía</t>
  </si>
  <si>
    <t>PYKURO1F4202</t>
  </si>
  <si>
    <t>PYKURO2F6794</t>
  </si>
  <si>
    <t>PYKURO2F6795</t>
  </si>
  <si>
    <t>PYKURO2F6796</t>
  </si>
  <si>
    <t>PYKURO2F6797</t>
  </si>
  <si>
    <t>(-) Intereses a Devengar bonos</t>
  </si>
  <si>
    <t>INTERESES PRÉSTAMOS ENTIDADES FINANCIERAS A PAGAR</t>
  </si>
  <si>
    <t>NOTA 15 – PORCION CORRIENTE DE LA DEUDA A LARGO PLAZO</t>
  </si>
  <si>
    <t>Préstamos bancarios / del Exterior</t>
  </si>
  <si>
    <t>Intereses bancarios a pagar / del exterior</t>
  </si>
  <si>
    <t>Intereses bursatiles a pagar</t>
  </si>
  <si>
    <t>NOTA 16 – REMUNERACIONES Y CARGAS SOCIALES A PAGAR</t>
  </si>
  <si>
    <t xml:space="preserve">Expresado en guaranies </t>
  </si>
  <si>
    <t>Sueldo y otras remuneraciones a pagar</t>
  </si>
  <si>
    <t>Aportes y retenciones a pagar</t>
  </si>
  <si>
    <t>NOTA 17 –  IMPUESTOS A PAGAR</t>
  </si>
  <si>
    <t>Impuesto a la renta a pagar</t>
  </si>
  <si>
    <t>NOTA 19 – OTROS PASIVOS CORRIENTES y NO CORRIENTES</t>
  </si>
  <si>
    <t>Retencion de IVA a pagar</t>
  </si>
  <si>
    <t>Alquileres cobrados por adelantados</t>
  </si>
  <si>
    <t>IVA a Pagar</t>
  </si>
  <si>
    <t>Anticipos de clientes  Gs</t>
  </si>
  <si>
    <t>Anticipos de clientes Usd</t>
  </si>
  <si>
    <t xml:space="preserve">Ingresos No realizados </t>
  </si>
  <si>
    <t>Previsiones para contingencias/Indemnizaciones y despidos</t>
  </si>
  <si>
    <t>NOTA 18 -  PROVISIONES</t>
  </si>
  <si>
    <t>Previsión sobre contrato de JDF</t>
  </si>
  <si>
    <t xml:space="preserve">Provisión Reserva Legal </t>
  </si>
  <si>
    <t>Provisión impuesto a la Renta a Pagar</t>
  </si>
  <si>
    <t>Comisiones a Pagar</t>
  </si>
  <si>
    <t>Comisiones a Pagar por  Financiamiento</t>
  </si>
  <si>
    <t>Gastos a pagar por escrituras Gs.</t>
  </si>
  <si>
    <t>Gastos a pagar por escrituras Usd.</t>
  </si>
  <si>
    <t>NOTA 20 – CAPITAL INTEGRADO</t>
  </si>
  <si>
    <t>Fecha</t>
  </si>
  <si>
    <t>Monto Capital Social</t>
  </si>
  <si>
    <t>Monto Capital Integrado</t>
  </si>
  <si>
    <t>Cantidad de Acciones</t>
  </si>
  <si>
    <t>Valor Nominal de Acciones</t>
  </si>
  <si>
    <t>NOTA 21 – RESERVAS</t>
  </si>
  <si>
    <t>a  Reserva de revalúo</t>
  </si>
  <si>
    <t>b Reserva legal</t>
  </si>
  <si>
    <t>c Reservas estatutarias</t>
  </si>
  <si>
    <t>d Reservas facultativas</t>
  </si>
  <si>
    <t>d.1. (nuevas cuentas a incluir)</t>
  </si>
  <si>
    <t>d.2. (nuevas cuentas a incluir)</t>
  </si>
  <si>
    <t>NOTA 21 –  DIFERENCIA TRANSITORIA POR CONVERSION</t>
  </si>
  <si>
    <t>NOTA 23 –  RESULTADOS ACUMULADOS</t>
  </si>
  <si>
    <t>Utilidad  neta del año</t>
  </si>
  <si>
    <t>Resultado del ejercicio</t>
  </si>
  <si>
    <t>Resultado del periodo / Ejercicio</t>
  </si>
  <si>
    <t>NOTA 24 –  INTERES MINORITARIO</t>
  </si>
  <si>
    <t>NOTA 25 –  VENTAS</t>
  </si>
  <si>
    <t>Rubros</t>
  </si>
  <si>
    <t>Ventas linea de negocio 1</t>
  </si>
  <si>
    <t>Local</t>
  </si>
  <si>
    <t>NOTA 26 - COSTO DE VENTAS</t>
  </si>
  <si>
    <t>Linea de negocio 1</t>
  </si>
  <si>
    <t>Existencia inicial del inventario</t>
  </si>
  <si>
    <t>+ Compra de bienes y servicios</t>
  </si>
  <si>
    <t>- Existencia final de inventario</t>
  </si>
  <si>
    <t>Total costo de ventas</t>
  </si>
  <si>
    <t>NOTA 27 -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</si>
  <si>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</si>
  <si>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</si>
  <si>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 xml:space="preserve">CUENTAS </t>
  </si>
  <si>
    <t>Gastos de Ventas</t>
  </si>
  <si>
    <t>Gastos Administrativos</t>
  </si>
  <si>
    <t>Sueldos y Jornales</t>
  </si>
  <si>
    <t>Aporte Patronal I.P.S.</t>
  </si>
  <si>
    <t>Bonificaciones</t>
  </si>
  <si>
    <t>Vacaciones Pagadas</t>
  </si>
  <si>
    <t>Aguinaldos Pagados</t>
  </si>
  <si>
    <t>Remuneración Personal Superior</t>
  </si>
  <si>
    <t>Honorarios Profesionales</t>
  </si>
  <si>
    <t>Alquileres Pagados</t>
  </si>
  <si>
    <t>Gastos de Comunicación</t>
  </si>
  <si>
    <t>Luz y Agua</t>
  </si>
  <si>
    <t>Teléfono y Fax</t>
  </si>
  <si>
    <t xml:space="preserve">Conservación y Reparación de Bienes en Operación  </t>
  </si>
  <si>
    <t>Seguros Pagados</t>
  </si>
  <si>
    <t>Impresos y Utiles de Oficina</t>
  </si>
  <si>
    <t>Donaciones</t>
  </si>
  <si>
    <t>Impuesto Patentes y Tasas</t>
  </si>
  <si>
    <t>Multas y Sanciones</t>
  </si>
  <si>
    <t>Conservación y Reparación Edificios</t>
  </si>
  <si>
    <t>Gastos de Informática</t>
  </si>
  <si>
    <t>Gastos de Identificación Visual</t>
  </si>
  <si>
    <t>Gastos de Encomiendas</t>
  </si>
  <si>
    <t>Gastos de Fin de Año</t>
  </si>
  <si>
    <t>Gastos Formación de Funcionarios</t>
  </si>
  <si>
    <t>Gastos Generales de Administración</t>
  </si>
  <si>
    <t>Gastos Fletes e Intereses  Internacionales</t>
  </si>
  <si>
    <t>Gastos de Implementación Sistema</t>
  </si>
  <si>
    <t>Gastos no Deducibles</t>
  </si>
  <si>
    <t>Indemnizaciones</t>
  </si>
  <si>
    <t>Obsolescencia de Mercaderías</t>
  </si>
  <si>
    <t>Castigo Malos Creditos</t>
  </si>
  <si>
    <t>Gastos de Suministros</t>
  </si>
  <si>
    <t>Mejoras en Predio Ajeno</t>
  </si>
  <si>
    <t>Seguridad y Vigilancia</t>
  </si>
  <si>
    <t>Seguro Médico</t>
  </si>
  <si>
    <t>Gastos de Uniforme</t>
  </si>
  <si>
    <t>Diferencia en liquidación de Caja</t>
  </si>
  <si>
    <t>Responsabilidad Social Empresarial</t>
  </si>
  <si>
    <t>Comisiones Pagadas</t>
  </si>
  <si>
    <t>Gastos Publicitarios</t>
  </si>
  <si>
    <t>Fletes y Acarreos</t>
  </si>
  <si>
    <t>Gastos de Viajes</t>
  </si>
  <si>
    <t>Combustibles y Lubricantes Autovehículos</t>
  </si>
  <si>
    <t>Combustibles y Lubricantes Maquinarias para Ventas</t>
  </si>
  <si>
    <t>Conservación y Reparación Autovehículos</t>
  </si>
  <si>
    <t>Gastos Generales de Ventas</t>
  </si>
  <si>
    <t>Gastos Generales del Taller</t>
  </si>
  <si>
    <t>Gastos Maquinarias para Ventas</t>
  </si>
  <si>
    <t>Gastos de Garantías</t>
  </si>
  <si>
    <t>Gastos en el Exterior</t>
  </si>
  <si>
    <t>Gastos de Escrituras</t>
  </si>
  <si>
    <t>Combustibles y lubricantes montacargas</t>
  </si>
  <si>
    <t>Gastos de Conservación y reparación montacargas</t>
  </si>
  <si>
    <t>Gastos de Licitaciones</t>
  </si>
  <si>
    <t>Gastos de Expo</t>
  </si>
  <si>
    <t>Comisiones Pagadas sobre Ventas</t>
  </si>
  <si>
    <t>Gastos Automóviles en Renta</t>
  </si>
  <si>
    <t>Gastos Montacargas en Renta</t>
  </si>
  <si>
    <t>Gastos de contratos JDF</t>
  </si>
  <si>
    <t>Gastos por Exportación</t>
  </si>
  <si>
    <t>Servicios por Pos Venta</t>
  </si>
  <si>
    <t>Depreciaciones</t>
  </si>
  <si>
    <t>Prevision  Para  Dudoso Cobro</t>
  </si>
  <si>
    <t>Prevision  Para Indemnizacion</t>
  </si>
  <si>
    <t>Prevision  Para Obsolescencia de Mercaderias</t>
  </si>
  <si>
    <t>Nota 28 - Otros Ingresos y gastos operativos</t>
  </si>
  <si>
    <t>Otros ingresos</t>
  </si>
  <si>
    <t>Otros gastos</t>
  </si>
  <si>
    <t>Comisiones Cobradas</t>
  </si>
  <si>
    <t>Pérdida por Venta de Activo Fijo</t>
  </si>
  <si>
    <t>Fletes Cobrados</t>
  </si>
  <si>
    <t>Liquidación Ingresos</t>
  </si>
  <si>
    <t>Ingresos Varios</t>
  </si>
  <si>
    <t>Cuentas Incobrables recuperadas</t>
  </si>
  <si>
    <t>Alquileres Cobrados</t>
  </si>
  <si>
    <t>Utilidades por Vtas. de Activos Fijos</t>
  </si>
  <si>
    <t>NOTA 29 - INGRESOS Y GASTOS FINANCIEROS NETOS</t>
  </si>
  <si>
    <t>Ingresos Financieros netos</t>
  </si>
  <si>
    <t>Gastos Financieros netos</t>
  </si>
  <si>
    <t>Intereses Cobrados a Clientes</t>
  </si>
  <si>
    <t>Gastos Bancarios</t>
  </si>
  <si>
    <t>Intereses Cobrados a Bancos</t>
  </si>
  <si>
    <t>Gastos por Tarjetas de Créditos</t>
  </si>
  <si>
    <t>Descuentos Obtenidos C&amp;F/AG</t>
  </si>
  <si>
    <t>Gastos s/ Emisión de Bonos</t>
  </si>
  <si>
    <t>Diferencia Tipo de Cambio</t>
  </si>
  <si>
    <t>Intereses s/ Bonos</t>
  </si>
  <si>
    <t>Interes Cobrados Fondo Mutuo Excenta</t>
  </si>
  <si>
    <t>Intereses Pagados a Proveedores</t>
  </si>
  <si>
    <t>Total ingresos financieros</t>
  </si>
  <si>
    <t>Intereses Pagados a Bancos</t>
  </si>
  <si>
    <t>Descuentos sobre Cobranzas</t>
  </si>
  <si>
    <t>Intereses Pagados a Entid. Exterior</t>
  </si>
  <si>
    <t>Diferencias por Tipos de Cambios</t>
  </si>
  <si>
    <t>Total gastos financieros</t>
  </si>
  <si>
    <t>Nota 34 - Resultado de inversiones en asociadas</t>
  </si>
  <si>
    <t>(Detallar cuenta)</t>
  </si>
  <si>
    <t>Nota 31 - Resultado participación minoritaria</t>
  </si>
  <si>
    <t>Nota 32 - IMPUESTO A LA RENTA</t>
  </si>
  <si>
    <t>Conceptos</t>
  </si>
  <si>
    <t>Nota 33 - Resultado extraordinario neto de impuesto a la renta</t>
  </si>
  <si>
    <t>Nota 34 - Resultado sobre actividades discontinuadas neto de impuesto a la renta</t>
  </si>
  <si>
    <t>(nueva cuenta a incluir)</t>
  </si>
  <si>
    <t>- Impuesto a la renta</t>
  </si>
  <si>
    <t>NOTA 35- UTILIDAD (PÉRDIDA) NETA DEL AÑO Y POR ACCION ORDINARIA</t>
  </si>
  <si>
    <t>La Sociedad calcula la utilidad (pérdida) neta por acción sobre la base de la utilidad (pérdida) del año y  tiene derecho a un voto las acciones ordinarias y las acciones de votos multiples tiene derecho a cinco votos, el valor nominal de las acciones es de Guaranies 10.000.000.</t>
  </si>
  <si>
    <t>Cantidad de Acciones Ordinarias en Circulación</t>
  </si>
  <si>
    <t>Utilidad Neta</t>
  </si>
  <si>
    <t>Utilidad Neta por Acción Ordinaria</t>
  </si>
  <si>
    <t>NOTA 36 - ACTIVOS GRAVADOS</t>
  </si>
  <si>
    <t>Los siguientes bienes de propiedad de la Sociedad han sido hipotecados y prendados en garantía de obligaciones financieras.</t>
  </si>
  <si>
    <t>Tipo de Activo</t>
  </si>
  <si>
    <t>Datos  del activo gravado</t>
  </si>
  <si>
    <t>Importe (indicar   moneda)</t>
  </si>
  <si>
    <t>A favor de</t>
  </si>
  <si>
    <t xml:space="preserve">NOTA 37 - CONTINGENCIAS Y COMPROMISOS </t>
  </si>
  <si>
    <t xml:space="preserve">(Esta nota debería incluir un breve detalle de contratos con terceros, vigente a la fecha de cierre del ejercicio, cuyo incumplimiento o cláusula específica podrían generar obligaciones contingentes para el cliente). </t>
  </si>
  <si>
    <t>a) No existen situaciones de contigencias y compromisos</t>
  </si>
  <si>
    <t>b) No existen situaciones de contigencias y compromisos</t>
  </si>
  <si>
    <t xml:space="preserve">Obs.: Esta información debe estar ajustada  a lo requerido por la Norma de Información Financiera N° 5 Contingencias y sucesos que ocurren después de la fecha del balance. </t>
  </si>
  <si>
    <t>Índice</t>
  </si>
  <si>
    <t>NOTA 38 - IMPUESTO DIFERIDO</t>
  </si>
  <si>
    <t>Al 31 de Marzo 2025 la Sociedad constituyó una provisión para impuesto a la renta de guaraníes cuatro mil doscientos ochenta y ocho millones doscientos trece mil cuatrocientos veinti ocho. (G. 4.288.213.428).</t>
  </si>
  <si>
    <t>Al 31 de Marzo de 2024 la Sociedad constituyó una provisión para impuesto a la renta de guaraníes tres mil ciento cincuenta y siete millones sesenta y seis mil treinta y seis (G. 3.157.066.036).</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</si>
  <si>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</si>
  <si>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</si>
  <si>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Cuentas</t>
  </si>
  <si>
    <t xml:space="preserve">Activos y pasivos impositivos diferidos: </t>
  </si>
  <si>
    <t>Caja y Bancos</t>
  </si>
  <si>
    <t>Previsión para deudores incobrables</t>
  </si>
  <si>
    <t>Previsión por obsolescencia</t>
  </si>
  <si>
    <t>Bienes de uso</t>
  </si>
  <si>
    <t>Provisión del pasivo</t>
  </si>
  <si>
    <t>Provisión por Indemnización</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</si>
  <si>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</si>
  <si>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</si>
  <si>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</si>
  <si>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</si>
  <si>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</si>
  <si>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</si>
  <si>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</si>
  <si>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(En caso en que entre la fecha del cierre del ejercicio y la fecha de emisión de los estados financieros existan hechos posteriores significativos deberá evaluarse el tipo de hecho posterior del que se trate y modificar esta nota según corresponda).</t>
  </si>
  <si>
    <t>Desde el cierre del ejercicio actual hasta la fecha de preparación de estos estados financieros, no se han producido hechos eventos significativos, ya sean financieros u de otros, que afecten la situación patrimonial,financiera o los resultados de la Sociedad al 31 de Marzo 2025.</t>
  </si>
  <si>
    <t>NOTA 40 - SALDOS Y TRANSACCIONES CON PARTES RELACIONADAS</t>
  </si>
  <si>
    <r>
      <rPr>
        <b/>
        <sz val="9"/>
        <color rgb="FF000009"/>
        <rFont val="Times New Roman"/>
        <family val="1"/>
        <charset val="1"/>
      </rPr>
      <t xml:space="preserve">A) </t>
    </r>
    <r>
      <rPr>
        <u/>
        <sz val="9"/>
        <color rgb="FF000009"/>
        <rFont val="Times New Roman"/>
        <family val="1"/>
        <charset val="1"/>
      </rPr>
      <t> </t>
    </r>
    <r>
      <rPr>
        <b/>
        <u/>
        <sz val="9"/>
        <color rgb="FF000009"/>
        <rFont val="Times New Roman"/>
        <family val="1"/>
        <charset val="1"/>
      </rPr>
      <t>PARTES VINCULADAS O RELACIONADAS</t>
    </r>
  </si>
  <si>
    <t>A.1 SEGÚN ART. 34 DE LA LEY DE MERCADO DE VALORES (indicar nombres de las partes)</t>
  </si>
  <si>
    <t>Inciso a) a las personas con derecho a voto que controlen al menos el 10% (diez por ciento) del capital de las mismas</t>
  </si>
  <si>
    <t>Nombre del Accionistas</t>
  </si>
  <si>
    <t>Participación</t>
  </si>
  <si>
    <t xml:space="preserve">Inciso b) a las sociedades anónimas en las que estas controlen por lo menos el 10% (diez por ciento) del capital; 
</t>
  </si>
  <si>
    <t>FACTORES DE VINCULACION</t>
  </si>
  <si>
    <t>ACCIONISTA</t>
  </si>
  <si>
    <t>EMPRESA</t>
  </si>
  <si>
    <t>CARGO</t>
  </si>
  <si>
    <t>%</t>
  </si>
  <si>
    <t>C.A. LOGISTICA S.A.</t>
  </si>
  <si>
    <t>Director Suplente</t>
  </si>
  <si>
    <t>Si</t>
  </si>
  <si>
    <t>JOM S.A.</t>
  </si>
  <si>
    <t>Accionista</t>
  </si>
  <si>
    <t>Director</t>
  </si>
  <si>
    <t>SETAC. S.R.L.</t>
  </si>
  <si>
    <t>Socia</t>
  </si>
  <si>
    <t xml:space="preserve">Inciso c)  a sus accionistas que tengan potestades de elegir en asambleas al menos un director; y, </t>
  </si>
  <si>
    <t>Nombre de los Accionistas</t>
  </si>
  <si>
    <t xml:space="preserve">s/ Registro de Asistencia Accionistas </t>
  </si>
  <si>
    <t xml:space="preserve">s/ Libro Actas de Asamblea </t>
  </si>
  <si>
    <t>Jaime Hitoshi Kurosu Ishigaki.-</t>
  </si>
  <si>
    <t xml:space="preserve"> N° 60/26/04/2024</t>
  </si>
  <si>
    <t>Mina Kurosu Ishigaki.-</t>
  </si>
  <si>
    <t>Antonio Maciel Rotela.-</t>
  </si>
  <si>
    <t>Basilio José Ramirez Flores.-</t>
  </si>
  <si>
    <t>Eva Rosa Rodriguez de Hermosilla.-</t>
  </si>
  <si>
    <t>Graciela Margarita Lutz Mullet.-</t>
  </si>
  <si>
    <t>Javier Valenzuela Esquivel.-</t>
  </si>
  <si>
    <t>Pablo Rafael Benítez.-</t>
  </si>
  <si>
    <t>Alicia Isabel Lisnichuk F.-</t>
  </si>
  <si>
    <t>Julio Diego Alcaraz Martinez.-</t>
  </si>
  <si>
    <t xml:space="preserve">Inciso d)  a sus directores, administradores, síndicos, auditores internos y apoderados. Los cónyuges y parientes hasta el segundo grado de consanguinidad o afinidad de las personas referidas en los incisos anteriores, siempre que tengan participación en el capital de la sociedad. </t>
  </si>
  <si>
    <t>Nombre de la persona</t>
  </si>
  <si>
    <t>Cargo que ocupa</t>
  </si>
  <si>
    <t>Director Presidente</t>
  </si>
  <si>
    <t>Director Vicepresidente</t>
  </si>
  <si>
    <t>Alcira Kazuko Onishi.-</t>
  </si>
  <si>
    <t>Aristides Ramon Corrales Arguello.-</t>
  </si>
  <si>
    <t>Síndico Suplente</t>
  </si>
  <si>
    <t>Otros: Los cónyuges y parientes hasta el segundo grado de consanguinidad o afinidad de las personas referidas en los incisos anteriores,
siempre que tengan participación en el capital de la sociedad.</t>
  </si>
  <si>
    <t xml:space="preserve">NO APLICABLE – NO REGISTRA
</t>
  </si>
  <si>
    <t>A.1.1. SEGÚN ART. 1º CAPÍTULO 1 TÍTULO 24- VINCULACIÓN CON SOCIEDADES CON LAS CUALES SE MANTIENEN OPERACIONES</t>
  </si>
  <si>
    <t>Indicar la sociedad con la cual la entidad fiscalizada mantiene operaciones</t>
  </si>
  <si>
    <t>Persona física vinculada</t>
  </si>
  <si>
    <t>Cargo en la sociedad con la cual la entidad fiscalizada mantiene operaciones</t>
  </si>
  <si>
    <t>Cargo en la entidad fiscalizada por la SIV-BCP</t>
  </si>
  <si>
    <t>Tipo de operación mantenida con la entidad fiscalizada</t>
  </si>
  <si>
    <t>Operaciones Financieras</t>
  </si>
  <si>
    <t>CADIEM CASA DE BOLSA S.A.</t>
  </si>
  <si>
    <t>Proveedor</t>
  </si>
  <si>
    <t>Directora</t>
  </si>
  <si>
    <t>Eva Rosa Rodríguez de Hermosilla</t>
  </si>
  <si>
    <t>FINACIERA PARAGUAYO JAPONESA S.A.</t>
  </si>
  <si>
    <t>Antonio Maciel Rotela</t>
  </si>
  <si>
    <t>Observación: En el caso de no presentar vinculación por el factor mencionado, indicar en forma expresa esta situación.</t>
  </si>
  <si>
    <t>A.2 SEGÚN ART. 3º CAPÍTULO 1 TÍTULO 24 - INVERSIONES DE LA SOCIEDAD EN VALORES DE OTRAS EMPRESAS QUE REPRESENTEN MÁS DEL 10 % DEL ACTIVO DE
LA SOCIEDAD</t>
  </si>
  <si>
    <t>Nombre de la Empresa</t>
  </si>
  <si>
    <t>Monto de la inversión</t>
  </si>
  <si>
    <t xml:space="preserve">Tipo de Valor </t>
  </si>
  <si>
    <t>Indicar el porcentaje de participación en el capital integrado de la
sociedad emisora (solo en el caso de inversión en acciones)</t>
  </si>
  <si>
    <t>NO REGISTRA</t>
  </si>
  <si>
    <t>SIN MOVIMIENTO</t>
  </si>
  <si>
    <t>Observación: En el caso de no registrar inversiones indicar en forma expresa esta situación.</t>
  </si>
  <si>
    <t>A.3 SEGÚN ART. 3º CAPÍTULO 1 TÍTULO 24 -ACTIVOS DE LA SOCIEDAD COMPROMETIDOS EN MÁS DEL 20% EN GARANTÍA DE OBLIGACIONES DE OTRA U OTRAS EMPRESAS</t>
  </si>
  <si>
    <t xml:space="preserve">Nombre de la Empresa </t>
  </si>
  <si>
    <t>Valor de los bienes gravados</t>
  </si>
  <si>
    <t xml:space="preserve">Tipo de bien o valor </t>
  </si>
  <si>
    <t>Monto de la deuda garantizada</t>
  </si>
  <si>
    <t>NO APLICABLE</t>
  </si>
  <si>
    <t>Observación: En el caso de no registrar garantías indicar en forma expresa esta situación</t>
  </si>
  <si>
    <t>A.4. SEGÚN ART. 4º CAPÍTULO 1 TÍTULO 24 - VINCULACIÓN POR NIVEL DE ENDEUDAMIENTO</t>
  </si>
  <si>
    <t>NOMBRE DE LA SOCIEDAD VINCULADA</t>
  </si>
  <si>
    <t>FACTORES DE VINCULACIÓN</t>
  </si>
  <si>
    <t>NO APLICA - NO REGISTRA</t>
  </si>
  <si>
    <t>B)   SALDOS CON PARTES RELACIONADAS</t>
  </si>
  <si>
    <t>Al  31/03/2025   y    Al 31/03/2024.-</t>
  </si>
  <si>
    <t>En forma comparativa con el mismo ejercicio del año anterior.</t>
  </si>
  <si>
    <t>ACTIVO</t>
  </si>
  <si>
    <t>Cuentas a cobrar</t>
  </si>
  <si>
    <t>Obs: (distinguir nombres de partes relacionadas en A)</t>
  </si>
  <si>
    <t>PASIVO</t>
  </si>
  <si>
    <t>Cuentas a pagar</t>
  </si>
  <si>
    <t>NO SE REGISTRA</t>
  </si>
  <si>
    <r>
      <rPr>
        <b/>
        <u/>
        <sz val="10"/>
        <color rgb="FF000000"/>
        <rFont val="Times New Roman"/>
        <family val="1"/>
        <charset val="1"/>
      </rPr>
      <t xml:space="preserve">Ingresos </t>
    </r>
    <r>
      <rPr>
        <sz val="10"/>
        <color rgb="FF000000"/>
        <rFont val="Times New Roman"/>
        <family val="1"/>
        <charset val="1"/>
      </rPr>
      <t>(Con sus conceptos y distinguir nombre de partes relacionadas indicadas en A)</t>
    </r>
  </si>
  <si>
    <r>
      <rPr>
        <b/>
        <u/>
        <sz val="10"/>
        <color rgb="FF000000"/>
        <rFont val="Times New Roman"/>
        <family val="1"/>
        <charset val="1"/>
      </rPr>
      <t xml:space="preserve">Egresos </t>
    </r>
    <r>
      <rPr>
        <u/>
        <sz val="10"/>
        <color rgb="FF000000"/>
        <rFont val="Times New Roman"/>
        <family val="1"/>
        <charset val="1"/>
      </rPr>
      <t xml:space="preserve"> </t>
    </r>
    <r>
      <rPr>
        <sz val="10"/>
        <color rgb="FF000000"/>
        <rFont val="Times New Roman"/>
        <family val="1"/>
        <charset val="1"/>
      </rPr>
      <t>(Con sus conceptos y distinguir nombre de partes relacionadas indicadas en A)</t>
    </r>
  </si>
  <si>
    <t>Las transaciones en el periodo fueron  las siguientes</t>
  </si>
  <si>
    <t>Obs: (distinguir  nombres de las relacionas indicadas en A)</t>
  </si>
  <si>
    <t>Cuentas a cobrar comerciales</t>
  </si>
  <si>
    <t>Total activo</t>
  </si>
  <si>
    <t>Préstamos a largo plazo</t>
  </si>
  <si>
    <t>Otros pasivos</t>
  </si>
  <si>
    <t>Total pasivo</t>
  </si>
  <si>
    <t>Compras a ….</t>
  </si>
  <si>
    <t>Honorarios por servicios</t>
  </si>
  <si>
    <t>Honorarios Profesionales sindico</t>
  </si>
  <si>
    <t xml:space="preserve">Otros </t>
  </si>
  <si>
    <t xml:space="preserve">Gastos financieros </t>
  </si>
  <si>
    <t>Intereses pagados por préstamos</t>
  </si>
  <si>
    <t>Guaraní</t>
  </si>
  <si>
    <t>Dólar estadounidense</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</si>
  <si>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</si>
  <si>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</si>
  <si>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</si>
  <si>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</si>
  <si>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</si>
  <si>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</si>
  <si>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</si>
  <si>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</si>
  <si>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</si>
  <si>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</si>
  <si>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</si>
  <si>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</si>
  <si>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</si>
  <si>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</si>
  <si>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</si>
  <si>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</si>
  <si>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</si>
  <si>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</si>
  <si>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</si>
  <si>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</si>
  <si>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</si>
  <si>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</si>
  <si>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</si>
  <si>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</si>
  <si>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</si>
  <si>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</si>
  <si>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</si>
  <si>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</si>
  <si>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</si>
  <si>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</si>
  <si>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</si>
  <si>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</si>
  <si>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</si>
  <si>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</si>
  <si>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</si>
  <si>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</si>
  <si>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</si>
  <si>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</si>
  <si>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</si>
  <si>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</si>
  <si>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</si>
  <si>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</si>
  <si>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</si>
  <si>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</si>
  <si>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</si>
  <si>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</si>
  <si>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</si>
  <si>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</si>
  <si>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</si>
  <si>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</si>
  <si>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</si>
  <si>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</si>
  <si>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</si>
  <si>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</si>
  <si>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</si>
  <si>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</si>
  <si>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</si>
  <si>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</si>
  <si>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</si>
  <si>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</si>
  <si>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</si>
  <si>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</si>
  <si>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</si>
  <si>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</si>
  <si>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</si>
  <si>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</si>
  <si>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</si>
  <si>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</si>
  <si>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</si>
  <si>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</si>
  <si>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</si>
  <si>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</si>
  <si>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</si>
  <si>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</si>
  <si>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</si>
  <si>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</si>
  <si>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</si>
  <si>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</si>
  <si>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</si>
  <si>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</si>
  <si>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</si>
  <si>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</si>
  <si>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</si>
  <si>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</si>
  <si>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</si>
  <si>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</si>
  <si>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</si>
  <si>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</si>
  <si>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</si>
  <si>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</si>
  <si>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</si>
  <si>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</si>
  <si>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</si>
  <si>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</si>
  <si>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</si>
  <si>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</si>
  <si>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</si>
  <si>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</si>
  <si>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</si>
  <si>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</si>
  <si>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</si>
  <si>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</si>
  <si>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</si>
  <si>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</si>
  <si>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</si>
  <si>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</si>
  <si>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</si>
  <si>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</si>
  <si>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</si>
  <si>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</si>
  <si>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</si>
  <si>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</si>
  <si>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</si>
  <si>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</si>
  <si>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</si>
  <si>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</si>
  <si>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</si>
  <si>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</si>
  <si>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</si>
  <si>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</si>
  <si>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</si>
  <si>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</si>
  <si>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</si>
  <si>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</si>
  <si>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</si>
  <si>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</si>
  <si>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</si>
  <si>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</si>
  <si>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</si>
  <si>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</si>
  <si>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</si>
  <si>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</si>
  <si>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</si>
  <si>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</si>
  <si>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</si>
  <si>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</si>
  <si>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</si>
  <si>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</si>
  <si>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</si>
  <si>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</si>
  <si>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</si>
  <si>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</si>
  <si>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</si>
  <si>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</si>
  <si>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</si>
  <si>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</si>
  <si>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</si>
  <si>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</si>
  <si>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</si>
  <si>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</si>
  <si>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</si>
  <si>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</si>
  <si>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</si>
  <si>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</si>
  <si>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</si>
  <si>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</si>
  <si>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</si>
  <si>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</si>
  <si>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</si>
  <si>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</si>
  <si>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</si>
  <si>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</si>
  <si>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</si>
  <si>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</si>
  <si>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</si>
  <si>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</si>
  <si>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</si>
  <si>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</si>
  <si>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</si>
  <si>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</si>
  <si>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</si>
  <si>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</si>
  <si>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</si>
  <si>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</si>
  <si>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</si>
  <si>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</si>
  <si>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</si>
  <si>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</si>
  <si>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</si>
  <si>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</si>
  <si>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</si>
  <si>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</si>
  <si>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</si>
  <si>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</si>
  <si>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</si>
  <si>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</si>
  <si>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</si>
  <si>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</si>
  <si>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</si>
  <si>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</si>
  <si>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</si>
  <si>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</si>
  <si>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</si>
  <si>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</si>
  <si>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</si>
  <si>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</si>
  <si>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</si>
  <si>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</si>
  <si>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</si>
  <si>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</si>
  <si>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</si>
  <si>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</si>
  <si>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</si>
  <si>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</si>
  <si>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</si>
  <si>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</si>
  <si>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</si>
  <si>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</si>
  <si>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</si>
  <si>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</si>
  <si>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</si>
  <si>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</si>
  <si>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</si>
  <si>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</si>
  <si>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</si>
  <si>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</si>
  <si>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</si>
  <si>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</si>
  <si>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</si>
  <si>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</si>
  <si>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</si>
  <si>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</si>
  <si>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</si>
  <si>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</si>
  <si>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</si>
  <si>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</si>
  <si>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</si>
  <si>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</si>
  <si>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</si>
  <si>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</si>
  <si>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</si>
  <si>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</si>
  <si>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</si>
  <si>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</si>
  <si>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</si>
  <si>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</si>
  <si>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</si>
  <si>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</si>
  <si>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</si>
  <si>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</si>
  <si>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</si>
  <si>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</si>
  <si>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</si>
  <si>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</si>
  <si>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</si>
  <si>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</si>
  <si>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</si>
  <si>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</si>
  <si>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</si>
  <si>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</si>
  <si>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</si>
  <si>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</si>
  <si>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</si>
  <si>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</si>
  <si>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</si>
  <si>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</si>
  <si>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</si>
  <si>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</si>
  <si>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</si>
  <si>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</si>
  <si>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</si>
  <si>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</si>
  <si>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</si>
  <si>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</si>
  <si>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</si>
  <si>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</si>
  <si>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</si>
  <si>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</si>
  <si>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</si>
  <si>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</si>
  <si>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</si>
  <si>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</si>
  <si>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</si>
  <si>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</si>
  <si>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</si>
  <si>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</si>
  <si>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</si>
  <si>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</si>
  <si>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</si>
  <si>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</si>
  <si>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</si>
  <si>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</si>
  <si>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</si>
  <si>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</si>
  <si>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</si>
  <si>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</si>
  <si>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</si>
  <si>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</si>
  <si>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</si>
  <si>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</si>
  <si>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</si>
  <si>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</si>
  <si>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</si>
  <si>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</si>
  <si>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</si>
  <si>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</si>
  <si>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</si>
  <si>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</si>
  <si>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</si>
  <si>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</si>
  <si>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</si>
  <si>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</si>
  <si>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</si>
  <si>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</si>
  <si>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</si>
  <si>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</si>
  <si>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</si>
  <si>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</si>
  <si>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</si>
  <si>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</si>
  <si>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</si>
  <si>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</si>
  <si>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</si>
  <si>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</si>
  <si>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</si>
  <si>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</si>
  <si>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</si>
  <si>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</si>
  <si>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</si>
  <si>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</si>
  <si>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</si>
  <si>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</si>
  <si>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</si>
  <si>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</si>
  <si>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</si>
  <si>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</si>
  <si>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</si>
  <si>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</si>
  <si>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</si>
  <si>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</si>
  <si>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</si>
  <si>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</si>
  <si>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</si>
  <si>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</si>
  <si>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</si>
  <si>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</si>
  <si>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</si>
  <si>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</si>
  <si>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</si>
  <si>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</si>
  <si>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</si>
  <si>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</si>
  <si>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</si>
  <si>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</si>
  <si>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</si>
  <si>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</si>
  <si>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</si>
  <si>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</si>
  <si>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</si>
  <si>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</si>
  <si>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</si>
  <si>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</si>
  <si>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Comparativo con igual al periodo del año anterior</t>
  </si>
  <si>
    <t>Comparativo con igual periodo del año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</si>
</sst>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1" formatCode="_ * #,##0_ ;_ * \-#,##0_ ;_ * &quot;-&quot;_ ;_ @_ "/>
    <numFmt numFmtId="43" formatCode="_ * #,##0.00_ ;_ * \-#,##0.00_ ;_ * &quot;-&quot;??_ ;_ @_ "/>
    <numFmt numFmtId="164" formatCode="* #,##0.00\ ;* \(#,##0.00\);* \-#\ ;@\ "/>
    <numFmt numFmtId="165" formatCode="* #,##0.00\ ;* \-#,##0.00\ ;* \-#\ ;@\ "/>
    <numFmt numFmtId="166" formatCode="_ * #,##0.00_ ;_ * \-#,##0.00_ ;_ * \-??_ ;_ @_ "/>
    <numFmt numFmtId="167" formatCode="_(* #,##0.00_);_(* \(#,##0.00\);_(* \-??_);_(@_)"/>
    <numFmt numFmtId="168" formatCode="[$€-3C0A]* #,##0.00\ ;\-[$€-3C0A]* #,##0.00\ ;[$€-3C0A]* \-#\ "/>
    <numFmt numFmtId="169" formatCode="_-[$€-2]* #,##0.00_-;\-[$€-2]* #,##0.00_-;_-[$€-2]* \-??_-"/>
    <numFmt numFmtId="170" formatCode="* #,##0.00&quot;    &quot;;\-* #,##0.00&quot;    &quot;;* \-#&quot;    &quot;;@\ "/>
    <numFmt numFmtId="171" formatCode="_-* #,##0.00\ _€_-;\-* #,##0.00\ _€_-;_-* \-??\ _€_-;_-@_-"/>
    <numFmt numFmtId="172" formatCode="* #,##0.00\ ;\-* #,##0.00\ ;* \-#\ ;@\ "/>
    <numFmt numFmtId="173" formatCode="_-* #,##0.00_-;\-* #,##0.00_-;_-* \-??_-;_-@_-"/>
    <numFmt numFmtId="174" formatCode="* #,##0\ ;* \-#,##0\ ;* &quot;- &quot;;@\ "/>
    <numFmt numFmtId="175" formatCode="_ * #,##0_ ;_ * \-#,##0_ ;_ * \-_ ;_ @_ "/>
    <numFmt numFmtId="176" formatCode="* #,##0\ ;\-* #,##0\ ;* &quot;- &quot;;@\ "/>
    <numFmt numFmtId="177" formatCode="_-* #,##0_-;\-* #,##0_-;_-* \-_-;_-@_-"/>
    <numFmt numFmtId="178" formatCode="0\ %"/>
    <numFmt numFmtId="179" formatCode="dd/mm/yyyy;@"/>
    <numFmt numFmtId="180" formatCode="dd/mm/yyyy"/>
    <numFmt numFmtId="181" formatCode="* #,##0\ ;* \-#,##0\ ;* \-#\ ;@\ "/>
    <numFmt numFmtId="182" formatCode="* #,##0.00\ ;* \-#,##0.00\ ;* &quot;- &quot;;@\ "/>
    <numFmt numFmtId="183" formatCode="_ * #,##0_ ;_ * \-#,##0_ ;_ * \-??_ ;_ @_ "/>
    <numFmt numFmtId="184" formatCode="#,##0_ ;\-#,##0\ "/>
    <numFmt numFmtId="185" formatCode="_(* #,##0_);_(* \(#,##0\);_(* \-??_);_(@_)"/>
    <numFmt numFmtId="186" formatCode="* #,##0\ ;* \(#,##0\);* \-#\ ;@\ "/>
    <numFmt numFmtId="187" formatCode="* #,##0\ ;* \(#,##0\);* &quot;- &quot;;@\ "/>
    <numFmt numFmtId="188" formatCode="* #,##0\ ;\-* #,##0\ ;* \-#\ ;@\ "/>
    <numFmt numFmtId="189" formatCode="0.00\ %"/>
    <numFmt numFmtId="190" formatCode="[$-3C0A]#,##0\ ;\(#,##0\)"/>
    <numFmt numFmtId="191" formatCode="#,##0\ ;\-#,##0\ "/>
    <numFmt numFmtId="192" formatCode="#,##0;[Red]#,##0"/>
    <numFmt numFmtId="193" formatCode="_-* #,##0.00\ _€_-;\-* #,##0.00\ _€_-;_-* &quot;-&quot;??\ _€_-;_-@_-"/>
  </numFmts>
  <fonts count="105">
    <font>
      <sz val="11"/>
      <color rgb="FF000000"/>
      <name val="Calibri"/>
      <family val="2"/>
      <charset val="1"/>
    </font>
    <font>
      <sz val="11"/>
      <color theme="1"/>
      <name val="Aptos Narrow"/>
      <family val="2"/>
      <scheme val="minor"/>
    </font>
    <font>
      <sz val="10"/>
      <name val="Arial"/>
      <family val="2"/>
      <charset val="1"/>
    </font>
    <font>
      <sz val="10"/>
      <color rgb="FF000000"/>
      <name val="Times New Roman"/>
      <family val="1"/>
      <charset val="1"/>
    </font>
    <font>
      <sz val="11"/>
      <color rgb="FF000000"/>
      <name val="Aptos Narrow"/>
      <family val="2"/>
      <charset val="1"/>
    </font>
    <font>
      <sz val="10"/>
      <color rgb="FF000000"/>
      <name val="Arial"/>
      <family val="2"/>
      <charset val="1"/>
    </font>
    <font>
      <sz val="10"/>
      <name val="ARIAL"/>
      <family val="2"/>
      <charset val="1"/>
    </font>
    <font>
      <sz val="12"/>
      <name val="Times New Roman"/>
      <family val="1"/>
      <charset val="1"/>
    </font>
    <font>
      <b/>
      <sz val="12"/>
      <color rgb="FF000000"/>
      <name val="Arial"/>
      <family val="2"/>
      <charset val="1"/>
    </font>
    <font>
      <b/>
      <sz val="20"/>
      <color rgb="FF0070C0"/>
      <name val="Calibri"/>
      <family val="2"/>
      <charset val="1"/>
    </font>
    <font>
      <b/>
      <sz val="10"/>
      <color rgb="FF000000"/>
      <name val="Arial"/>
      <family val="2"/>
      <charset val="1"/>
    </font>
    <font>
      <sz val="8"/>
      <color rgb="FF000000"/>
      <name val="Arial"/>
      <family val="2"/>
      <charset val="1"/>
    </font>
    <font>
      <b/>
      <sz val="10"/>
      <name val="Arial"/>
      <family val="2"/>
      <charset val="1"/>
    </font>
    <font>
      <b/>
      <sz val="8"/>
      <name val="Arial"/>
      <family val="2"/>
      <charset val="1"/>
    </font>
    <font>
      <u/>
      <sz val="11"/>
      <color rgb="FF0563C1"/>
      <name val="Calibri"/>
      <family val="2"/>
      <charset val="1"/>
    </font>
    <font>
      <u/>
      <sz val="10"/>
      <color rgb="FF0563C1"/>
      <name val="Arial"/>
      <family val="2"/>
      <charset val="1"/>
    </font>
    <font>
      <b/>
      <sz val="20"/>
      <color rgb="FF000000"/>
      <name val="Arial"/>
      <family val="2"/>
      <charset val="1"/>
    </font>
    <font>
      <b/>
      <sz val="20"/>
      <color rgb="FF215F9A"/>
      <name val="Calibri"/>
      <family val="2"/>
      <charset val="1"/>
    </font>
    <font>
      <b/>
      <sz val="8"/>
      <color rgb="FF000000"/>
      <name val="Arial"/>
      <family val="2"/>
      <charset val="1"/>
    </font>
    <font>
      <b/>
      <sz val="11"/>
      <color rgb="FF000000"/>
      <name val="Calibri"/>
      <family val="2"/>
      <charset val="1"/>
    </font>
    <font>
      <sz val="11"/>
      <color rgb="FF000000"/>
      <name val="Arial"/>
      <family val="2"/>
      <charset val="1"/>
    </font>
    <font>
      <sz val="8"/>
      <color rgb="FFFF0000"/>
      <name val="Arial"/>
      <family val="2"/>
      <charset val="1"/>
    </font>
    <font>
      <sz val="9"/>
      <color rgb="FF000000"/>
      <name val="Arial"/>
      <family val="2"/>
      <charset val="1"/>
    </font>
    <font>
      <b/>
      <sz val="10"/>
      <color rgb="FFFFFFFF"/>
      <name val="Arial Black"/>
      <family val="2"/>
      <charset val="1"/>
    </font>
    <font>
      <sz val="10"/>
      <color rgb="FF000000"/>
      <name val="Arial Black"/>
      <family val="2"/>
      <charset val="1"/>
    </font>
    <font>
      <b/>
      <u/>
      <sz val="10"/>
      <color rgb="FFFFFFFF"/>
      <name val="Arial Black"/>
      <family val="2"/>
      <charset val="1"/>
    </font>
    <font>
      <sz val="10"/>
      <color rgb="FFFFFFFF"/>
      <name val="Arial"/>
      <family val="2"/>
      <charset val="1"/>
    </font>
    <font>
      <b/>
      <sz val="10"/>
      <color rgb="FFFFFFFF"/>
      <name val="Arial"/>
      <family val="2"/>
      <charset val="1"/>
    </font>
    <font>
      <sz val="10"/>
      <name val="Arial Black"/>
      <family val="2"/>
      <charset val="1"/>
    </font>
    <font>
      <b/>
      <sz val="10"/>
      <color rgb="FFFF0000"/>
      <name val="Arial"/>
      <family val="2"/>
      <charset val="1"/>
    </font>
    <font>
      <b/>
      <sz val="9"/>
      <name val="Arial"/>
      <family val="2"/>
      <charset val="1"/>
    </font>
    <font>
      <sz val="9"/>
      <color rgb="FFFF0000"/>
      <name val="Arial"/>
      <family val="2"/>
      <charset val="1"/>
    </font>
    <font>
      <sz val="12"/>
      <color rgb="FFFFFFFF"/>
      <name val="Arial"/>
      <family val="2"/>
      <charset val="1"/>
    </font>
    <font>
      <sz val="12"/>
      <color rgb="FF000000"/>
      <name val="Arial"/>
      <family val="2"/>
      <charset val="1"/>
    </font>
    <font>
      <b/>
      <sz val="12"/>
      <name val="Arial"/>
      <family val="2"/>
      <charset val="1"/>
    </font>
    <font>
      <sz val="10"/>
      <color rgb="FFFFFFFF"/>
      <name val="Arial Black"/>
      <family val="2"/>
      <charset val="1"/>
    </font>
    <font>
      <b/>
      <sz val="20"/>
      <color rgb="FF0070C0"/>
      <name val="Arial"/>
      <family val="2"/>
      <charset val="1"/>
    </font>
    <font>
      <sz val="20"/>
      <color rgb="FF000000"/>
      <name val="Arial"/>
      <family val="2"/>
      <charset val="1"/>
    </font>
    <font>
      <b/>
      <sz val="11"/>
      <name val="Arial"/>
      <family val="2"/>
      <charset val="1"/>
    </font>
    <font>
      <sz val="10"/>
      <color rgb="FFFF0000"/>
      <name val="Arial"/>
      <family val="2"/>
      <charset val="1"/>
    </font>
    <font>
      <b/>
      <sz val="24"/>
      <color rgb="FF0070C0"/>
      <name val="Arial"/>
      <family val="2"/>
      <charset val="1"/>
    </font>
    <font>
      <sz val="11"/>
      <name val="Arial"/>
      <family val="2"/>
      <charset val="1"/>
    </font>
    <font>
      <b/>
      <sz val="11"/>
      <color rgb="FFFFFFFF"/>
      <name val="Arial"/>
      <family val="2"/>
      <charset val="1"/>
    </font>
    <font>
      <b/>
      <sz val="11"/>
      <color rgb="FFFFFFFF"/>
      <name val="Arial Black"/>
      <family val="2"/>
      <charset val="1"/>
    </font>
    <font>
      <sz val="10"/>
      <color rgb="FF00000A"/>
      <name val="Arial"/>
      <family val="2"/>
      <charset val="1"/>
    </font>
    <font>
      <b/>
      <sz val="10"/>
      <color rgb="FF00000A"/>
      <name val="Arial"/>
      <family val="2"/>
      <charset val="1"/>
    </font>
    <font>
      <sz val="9"/>
      <name val="Arial"/>
      <family val="2"/>
      <charset val="1"/>
    </font>
    <font>
      <b/>
      <u/>
      <sz val="10"/>
      <name val="Arial"/>
      <family val="2"/>
      <charset val="1"/>
    </font>
    <font>
      <sz val="9"/>
      <color rgb="FFFFFFFF"/>
      <name val="Arial"/>
      <family val="2"/>
      <charset val="1"/>
    </font>
    <font>
      <b/>
      <u/>
      <sz val="9"/>
      <color rgb="FF000000"/>
      <name val="Arial"/>
      <family val="2"/>
      <charset val="1"/>
    </font>
    <font>
      <b/>
      <sz val="9"/>
      <color rgb="FF000000"/>
      <name val="Arial"/>
      <family val="2"/>
      <charset val="1"/>
    </font>
    <font>
      <b/>
      <sz val="9"/>
      <color rgb="FFFFFFFF"/>
      <name val="Arial"/>
      <family val="2"/>
      <charset val="1"/>
    </font>
    <font>
      <sz val="11"/>
      <color rgb="FFFFFFFF"/>
      <name val="Calibri"/>
      <family val="2"/>
      <charset val="1"/>
    </font>
    <font>
      <b/>
      <sz val="11"/>
      <name val="Calibri"/>
      <family val="2"/>
      <charset val="1"/>
    </font>
    <font>
      <sz val="11"/>
      <color rgb="FFFF0000"/>
      <name val="Calibri"/>
      <family val="2"/>
      <charset val="1"/>
    </font>
    <font>
      <sz val="10"/>
      <color rgb="FF222222"/>
      <name val="Arial"/>
      <family val="2"/>
      <charset val="1"/>
    </font>
    <font>
      <b/>
      <u/>
      <sz val="10"/>
      <color rgb="FF000000"/>
      <name val="Arial"/>
      <family val="2"/>
      <charset val="1"/>
    </font>
    <font>
      <sz val="9"/>
      <color rgb="FFFFFDE7"/>
      <name val="Arial"/>
      <family val="2"/>
      <charset val="1"/>
    </font>
    <font>
      <sz val="9"/>
      <color rgb="FFFFFFFF"/>
      <name val="Calibri"/>
      <family val="2"/>
      <charset val="1"/>
    </font>
    <font>
      <u/>
      <sz val="9"/>
      <color rgb="FF000000"/>
      <name val="Arial"/>
      <family val="2"/>
      <charset val="1"/>
    </font>
    <font>
      <sz val="9"/>
      <color rgb="FF000000"/>
      <name val="Calibri"/>
      <family val="2"/>
      <charset val="1"/>
    </font>
    <font>
      <sz val="10"/>
      <color rgb="FF000000"/>
      <name val="Calibri"/>
      <family val="2"/>
      <charset val="1"/>
    </font>
    <font>
      <sz val="11"/>
      <name val="Calibri"/>
      <family val="2"/>
      <charset val="1"/>
    </font>
    <font>
      <b/>
      <sz val="11"/>
      <color rgb="FFFFFFFF"/>
      <name val="Calibri"/>
      <family val="2"/>
      <charset val="1"/>
    </font>
    <font>
      <sz val="10"/>
      <name val="Calibri"/>
      <family val="2"/>
      <charset val="1"/>
    </font>
    <font>
      <sz val="10"/>
      <color rgb="FF4472C4"/>
      <name val="Calibri"/>
      <family val="2"/>
      <charset val="1"/>
    </font>
    <font>
      <sz val="9"/>
      <color rgb="FF000000"/>
      <name val="Book Antiqua"/>
      <family val="1"/>
      <charset val="1"/>
    </font>
    <font>
      <sz val="9"/>
      <color rgb="FF4472C4"/>
      <name val="Book Antiqua"/>
      <family val="1"/>
      <charset val="1"/>
    </font>
    <font>
      <b/>
      <sz val="20"/>
      <color rgb="FF0070C0"/>
      <name val="ArUAL"/>
      <charset val="1"/>
    </font>
    <font>
      <b/>
      <sz val="20"/>
      <color rgb="FF2E75B6"/>
      <name val="Arial"/>
      <family val="2"/>
      <charset val="1"/>
    </font>
    <font>
      <b/>
      <sz val="20"/>
      <color rgb="FF2E75B6"/>
      <name val="Calibri"/>
      <family val="2"/>
      <charset val="1"/>
    </font>
    <font>
      <b/>
      <sz val="11"/>
      <color rgb="FF2E75B6"/>
      <name val="Calibri"/>
      <family val="2"/>
      <charset val="1"/>
    </font>
    <font>
      <sz val="12"/>
      <color rgb="FF000000"/>
      <name val="Calibri"/>
      <family val="2"/>
      <charset val="1"/>
    </font>
    <font>
      <b/>
      <sz val="11"/>
      <color rgb="FF000000"/>
      <name val="Arial"/>
      <family val="2"/>
      <charset val="1"/>
    </font>
    <font>
      <sz val="10"/>
      <name val="Times New Roman"/>
      <family val="1"/>
      <charset val="1"/>
    </font>
    <font>
      <u/>
      <sz val="10"/>
      <name val="Arial"/>
      <family val="2"/>
      <charset val="1"/>
    </font>
    <font>
      <sz val="9"/>
      <name val="Calibri"/>
      <family val="2"/>
      <charset val="1"/>
    </font>
    <font>
      <b/>
      <sz val="10"/>
      <color rgb="FF000000"/>
      <name val="Calibri"/>
      <family val="2"/>
      <charset val="1"/>
    </font>
    <font>
      <i/>
      <sz val="9"/>
      <color rgb="FF000000"/>
      <name val="Arial"/>
      <family val="2"/>
      <charset val="1"/>
    </font>
    <font>
      <sz val="12"/>
      <name val="Calibri"/>
      <family val="2"/>
      <charset val="1"/>
    </font>
    <font>
      <b/>
      <sz val="12"/>
      <color rgb="FF000000"/>
      <name val="Calibri"/>
      <family val="2"/>
      <charset val="1"/>
    </font>
    <font>
      <b/>
      <sz val="12"/>
      <color rgb="FFFFFFFF"/>
      <name val="Calibri"/>
      <family val="2"/>
      <charset val="1"/>
    </font>
    <font>
      <b/>
      <sz val="12"/>
      <name val="Calibri"/>
      <family val="2"/>
      <charset val="1"/>
    </font>
    <font>
      <b/>
      <sz val="9"/>
      <color rgb="FF000009"/>
      <name val="Times New Roman"/>
      <family val="1"/>
      <charset val="1"/>
    </font>
    <font>
      <u/>
      <sz val="9"/>
      <color rgb="FF000009"/>
      <name val="Times New Roman"/>
      <family val="1"/>
      <charset val="1"/>
    </font>
    <font>
      <b/>
      <u/>
      <sz val="9"/>
      <color rgb="FF000009"/>
      <name val="Times New Roman"/>
      <family val="1"/>
      <charset val="1"/>
    </font>
    <font>
      <sz val="9"/>
      <color rgb="FF000009"/>
      <name val="Times New Roman"/>
      <family val="1"/>
      <charset val="1"/>
    </font>
    <font>
      <b/>
      <sz val="8"/>
      <color rgb="FF000009"/>
      <name val="Times New Roman"/>
      <family val="1"/>
      <charset val="1"/>
    </font>
    <font>
      <b/>
      <sz val="8"/>
      <name val="Times New Roman"/>
      <family val="1"/>
      <charset val="1"/>
    </font>
    <font>
      <sz val="8"/>
      <color rgb="FF000009"/>
      <name val="Times New Roman"/>
      <family val="1"/>
      <charset val="1"/>
    </font>
    <font>
      <sz val="8"/>
      <color rgb="FF000009"/>
      <name val="Times New Roman"/>
      <family val="2"/>
      <charset val="1"/>
    </font>
    <font>
      <b/>
      <sz val="8"/>
      <color rgb="FF000000"/>
      <name val="Times New Roman"/>
      <family val="1"/>
      <charset val="1"/>
    </font>
    <font>
      <sz val="8"/>
      <color rgb="FF000000"/>
      <name val="Times New Roman"/>
      <family val="1"/>
      <charset val="1"/>
    </font>
    <font>
      <sz val="8"/>
      <name val="Times New Roman"/>
      <family val="1"/>
      <charset val="1"/>
    </font>
    <font>
      <b/>
      <sz val="9"/>
      <name val="Times New Roman"/>
      <family val="1"/>
      <charset val="1"/>
    </font>
    <font>
      <sz val="9"/>
      <color rgb="FF000000"/>
      <name val="Times New Roman"/>
      <family val="1"/>
      <charset val="1"/>
    </font>
    <font>
      <b/>
      <sz val="9"/>
      <color rgb="FF000000"/>
      <name val="Times New Roman"/>
      <family val="1"/>
      <charset val="1"/>
    </font>
    <font>
      <b/>
      <u/>
      <sz val="10"/>
      <color rgb="FF000000"/>
      <name val="Times New Roman"/>
      <family val="1"/>
      <charset val="1"/>
    </font>
    <font>
      <sz val="11"/>
      <color rgb="FF000000"/>
      <name val="Times New Roman"/>
      <family val="1"/>
      <charset val="1"/>
    </font>
    <font>
      <u/>
      <sz val="10"/>
      <color rgb="FF000000"/>
      <name val="Times New Roman"/>
      <family val="1"/>
      <charset val="1"/>
    </font>
    <font>
      <sz val="11"/>
      <color rgb="FF000000"/>
      <name val="Calibri"/>
      <family val="2"/>
      <charset val="1"/>
    </font>
    <font>
      <sz val="10"/>
      <name val="Arial"/>
      <family val="2"/>
    </font>
    <font>
      <sz val="10"/>
      <color indexed="8"/>
      <name val="ARIAL"/>
      <family val="2"/>
      <charset val="1"/>
    </font>
    <font>
      <sz val="12"/>
      <name val="Times New Roman"/>
      <family val="1"/>
    </font>
    <font>
      <sz val="10"/>
      <color theme="0"/>
      <name val="Arial"/>
      <family val="2"/>
      <charset val="1"/>
    </font>
  </fonts>
  <fills count="13">
    <fill>
      <patternFill patternType="none"/>
    </fill>
    <fill>
      <patternFill patternType="gray125"/>
    </fill>
    <fill>
      <patternFill patternType="solid">
        <fgColor rgb="FFFFFF00"/>
        <bgColor rgb="FFFFFF00"/>
      </patternFill>
    </fill>
    <fill>
      <patternFill patternType="solid">
        <fgColor rgb="FF81D41A"/>
        <bgColor rgb="FFA6A6A6"/>
      </patternFill>
    </fill>
    <fill>
      <patternFill patternType="solid">
        <fgColor rgb="FF00A933"/>
        <bgColor rgb="FF008000"/>
      </patternFill>
    </fill>
    <fill>
      <patternFill patternType="solid">
        <fgColor rgb="FFFFFFFF"/>
        <bgColor rgb="FFFFFDE7"/>
      </patternFill>
    </fill>
    <fill>
      <patternFill patternType="solid">
        <fgColor rgb="FFFFC000"/>
        <bgColor rgb="FFFF9900"/>
      </patternFill>
    </fill>
    <fill>
      <patternFill patternType="solid">
        <fgColor rgb="FF203864"/>
        <bgColor rgb="FF203764"/>
      </patternFill>
    </fill>
    <fill>
      <patternFill patternType="solid">
        <fgColor rgb="FF002060"/>
        <bgColor rgb="FF203764"/>
      </patternFill>
    </fill>
    <fill>
      <patternFill patternType="solid">
        <fgColor rgb="FF2F5597"/>
        <bgColor rgb="FF215F9A"/>
      </patternFill>
    </fill>
    <fill>
      <patternFill patternType="solid">
        <fgColor rgb="FFA6A6A6"/>
        <bgColor rgb="FFC0C0C0"/>
      </patternFill>
    </fill>
    <fill>
      <patternFill patternType="solid">
        <fgColor rgb="FF203764"/>
        <bgColor rgb="FF203864"/>
      </patternFill>
    </fill>
    <fill>
      <patternFill patternType="solid">
        <fgColor theme="0"/>
        <bgColor indexed="64"/>
      </patternFill>
    </fill>
  </fills>
  <borders count="49">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style="double">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top/>
      <bottom style="double">
        <color auto="1"/>
      </bottom>
      <diagonal/>
    </border>
    <border>
      <left style="hair">
        <color auto="1"/>
      </left>
      <right/>
      <top/>
      <bottom/>
      <diagonal/>
    </border>
    <border>
      <left style="medium">
        <color rgb="FFFFFFFF"/>
      </left>
      <right style="medium">
        <color rgb="FFFFFFFF"/>
      </right>
      <top style="medium">
        <color rgb="FFFFFFFF"/>
      </top>
      <bottom style="thin">
        <color auto="1"/>
      </bottom>
      <diagonal/>
    </border>
    <border>
      <left style="medium">
        <color rgb="FFFFFFFF"/>
      </left>
      <right/>
      <top style="medium">
        <color rgb="FFFFFFFF"/>
      </top>
      <bottom/>
      <diagonal/>
    </border>
    <border>
      <left/>
      <right/>
      <top style="medium">
        <color rgb="FFFFFFFF"/>
      </top>
      <bottom/>
      <diagonal/>
    </border>
    <border>
      <left style="medium">
        <color rgb="FFFFFFFF"/>
      </left>
      <right/>
      <top style="medium">
        <color rgb="FFFFFFFF"/>
      </top>
      <bottom style="medium">
        <color rgb="FFFFFFFF"/>
      </bottom>
      <diagonal/>
    </border>
    <border>
      <left/>
      <right style="medium">
        <color rgb="FFFFFFFF"/>
      </right>
      <top style="medium">
        <color rgb="FFFFFFFF"/>
      </top>
      <bottom/>
      <diagonal/>
    </border>
    <border>
      <left style="medium">
        <color rgb="FFFFFFFF"/>
      </left>
      <right style="medium">
        <color rgb="FFFFFFFF"/>
      </right>
      <top style="medium">
        <color rgb="FFFFFFFF"/>
      </top>
      <bottom style="medium">
        <color rgb="FFFFFFFF"/>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right/>
      <top/>
      <bottom style="medium">
        <color auto="1"/>
      </bottom>
      <diagonal/>
    </border>
    <border>
      <left style="thin">
        <color rgb="FF000009"/>
      </left>
      <right/>
      <top style="thin">
        <color rgb="FF000009"/>
      </top>
      <bottom style="thin">
        <color rgb="FF000009"/>
      </bottom>
      <diagonal/>
    </border>
    <border>
      <left/>
      <right/>
      <top style="thin">
        <color rgb="FF000009"/>
      </top>
      <bottom style="thin">
        <color rgb="FF000009"/>
      </bottom>
      <diagonal/>
    </border>
    <border>
      <left style="thin">
        <color rgb="FF000009"/>
      </left>
      <right style="thin">
        <color rgb="FF000009"/>
      </right>
      <top style="thin">
        <color rgb="FF000009"/>
      </top>
      <bottom style="thin">
        <color rgb="FF000009"/>
      </bottom>
      <diagonal/>
    </border>
    <border>
      <left style="thin">
        <color rgb="FF000009"/>
      </left>
      <right/>
      <top/>
      <bottom style="thin">
        <color rgb="FF000009"/>
      </bottom>
      <diagonal/>
    </border>
    <border>
      <left style="thin">
        <color auto="1"/>
      </left>
      <right style="thin">
        <color auto="1"/>
      </right>
      <top style="thin">
        <color auto="1"/>
      </top>
      <bottom style="thin">
        <color rgb="FF000009"/>
      </bottom>
      <diagonal/>
    </border>
    <border>
      <left style="thin">
        <color auto="1"/>
      </left>
      <right style="thin">
        <color auto="1"/>
      </right>
      <top style="thin">
        <color rgb="FF000009"/>
      </top>
      <bottom style="thin">
        <color rgb="FF000009"/>
      </bottom>
      <diagonal/>
    </border>
    <border>
      <left style="thin">
        <color auto="1"/>
      </left>
      <right style="thin">
        <color auto="1"/>
      </right>
      <top style="thin">
        <color rgb="FF000009"/>
      </top>
      <bottom style="thin">
        <color auto="1"/>
      </bottom>
      <diagonal/>
    </border>
  </borders>
  <cellStyleXfs count="301">
    <xf numFmtId="0" fontId="0" fillId="0" borderId="0"/>
    <xf numFmtId="165" fontId="100" fillId="0" borderId="0" applyBorder="0" applyProtection="0"/>
    <xf numFmtId="178" fontId="100" fillId="0" borderId="0" applyBorder="0" applyProtection="0"/>
    <xf numFmtId="0" fontId="14"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68" fontId="2" fillId="0" borderId="0" applyBorder="0" applyProtection="0"/>
    <xf numFmtId="169" fontId="2" fillId="0" borderId="0" applyBorder="0" applyProtection="0"/>
    <xf numFmtId="165" fontId="100" fillId="0" borderId="0" applyBorder="0" applyProtection="0"/>
    <xf numFmtId="166"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65" fontId="100" fillId="0" borderId="0" applyBorder="0" applyProtection="0"/>
    <xf numFmtId="166" fontId="100" fillId="0" borderId="0" applyBorder="0" applyProtection="0"/>
    <xf numFmtId="165" fontId="100" fillId="0" borderId="0" applyBorder="0" applyProtection="0"/>
    <xf numFmtId="166" fontId="100" fillId="0" borderId="0" applyBorder="0" applyProtection="0"/>
    <xf numFmtId="165" fontId="100" fillId="0" borderId="0" applyBorder="0" applyProtection="0"/>
    <xf numFmtId="166" fontId="100" fillId="0" borderId="0" applyBorder="0" applyProtection="0"/>
    <xf numFmtId="166" fontId="100" fillId="0" borderId="0" applyBorder="0" applyProtection="0"/>
    <xf numFmtId="166" fontId="100" fillId="0" borderId="0" applyBorder="0" applyProtection="0"/>
    <xf numFmtId="166" fontId="100" fillId="0" borderId="0" applyBorder="0" applyProtection="0"/>
    <xf numFmtId="166"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64"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65" fontId="100" fillId="0" borderId="0" applyBorder="0" applyProtection="0"/>
    <xf numFmtId="166" fontId="100" fillId="0" borderId="0" applyBorder="0" applyProtection="0"/>
    <xf numFmtId="165" fontId="100" fillId="0" borderId="0" applyBorder="0" applyProtection="0"/>
    <xf numFmtId="166" fontId="100" fillId="0" borderId="0" applyBorder="0" applyProtection="0"/>
    <xf numFmtId="165" fontId="100" fillId="0" borderId="0" applyBorder="0" applyProtection="0"/>
    <xf numFmtId="166" fontId="100" fillId="0" borderId="0" applyBorder="0" applyProtection="0"/>
    <xf numFmtId="166" fontId="100" fillId="0" borderId="0" applyBorder="0" applyProtection="0"/>
    <xf numFmtId="166" fontId="100" fillId="0" borderId="0" applyBorder="0" applyProtection="0"/>
    <xf numFmtId="167" fontId="100" fillId="0" borderId="0" applyBorder="0" applyProtection="0"/>
    <xf numFmtId="165" fontId="100" fillId="0" borderId="0" applyBorder="0" applyProtection="0"/>
    <xf numFmtId="165" fontId="100" fillId="0" borderId="0" applyBorder="0" applyProtection="0"/>
    <xf numFmtId="166" fontId="100" fillId="0" borderId="0" applyBorder="0" applyProtection="0"/>
    <xf numFmtId="166" fontId="100" fillId="0" borderId="0" applyBorder="0" applyProtection="0"/>
    <xf numFmtId="165"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70" fontId="100" fillId="0" borderId="0" applyBorder="0" applyProtection="0"/>
    <xf numFmtId="171" fontId="100" fillId="0" borderId="0" applyBorder="0" applyProtection="0"/>
    <xf numFmtId="171" fontId="100" fillId="0" borderId="0" applyBorder="0" applyProtection="0"/>
    <xf numFmtId="171" fontId="100" fillId="0" borderId="0" applyBorder="0" applyProtection="0"/>
    <xf numFmtId="166" fontId="100" fillId="0" borderId="0" applyBorder="0" applyProtection="0"/>
    <xf numFmtId="172" fontId="100" fillId="0" borderId="0" applyBorder="0" applyProtection="0"/>
    <xf numFmtId="173" fontId="100" fillId="0" borderId="0" applyBorder="0" applyProtection="0"/>
    <xf numFmtId="172" fontId="100" fillId="0" borderId="0" applyBorder="0" applyProtection="0"/>
    <xf numFmtId="172" fontId="2" fillId="0" borderId="0" applyBorder="0" applyProtection="0"/>
    <xf numFmtId="173" fontId="100" fillId="0" borderId="0" applyBorder="0" applyProtection="0"/>
    <xf numFmtId="165" fontId="100" fillId="0" borderId="0" applyBorder="0" applyProtection="0"/>
    <xf numFmtId="166" fontId="100" fillId="0" borderId="0" applyBorder="0" applyProtection="0"/>
    <xf numFmtId="172" fontId="100" fillId="0" borderId="0" applyBorder="0" applyProtection="0"/>
    <xf numFmtId="173"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64" fontId="100" fillId="0" borderId="0" applyBorder="0" applyProtection="0"/>
    <xf numFmtId="165" fontId="100" fillId="0" borderId="0" applyBorder="0" applyProtection="0"/>
    <xf numFmtId="166" fontId="100" fillId="0" borderId="0" applyBorder="0" applyProtection="0"/>
    <xf numFmtId="167" fontId="100" fillId="0" borderId="0" applyBorder="0" applyProtection="0"/>
    <xf numFmtId="172" fontId="2" fillId="0" borderId="0" applyBorder="0" applyProtection="0"/>
    <xf numFmtId="173" fontId="2" fillId="0" borderId="0" applyBorder="0" applyProtection="0"/>
    <xf numFmtId="165" fontId="100" fillId="0" borderId="0" applyBorder="0" applyProtection="0"/>
    <xf numFmtId="166" fontId="100" fillId="0" borderId="0" applyBorder="0" applyProtection="0"/>
    <xf numFmtId="165" fontId="100" fillId="0" borderId="0" applyBorder="0" applyProtection="0"/>
    <xf numFmtId="166" fontId="100" fillId="0" borderId="0" applyBorder="0" applyProtection="0"/>
    <xf numFmtId="174" fontId="2" fillId="0" borderId="0" applyBorder="0" applyProtection="0"/>
    <xf numFmtId="174" fontId="2" fillId="0" borderId="0" applyBorder="0" applyProtection="0"/>
    <xf numFmtId="175" fontId="2" fillId="0" borderId="0" applyBorder="0" applyProtection="0"/>
    <xf numFmtId="175" fontId="2" fillId="0" borderId="0" applyBorder="0" applyProtection="0"/>
    <xf numFmtId="175" fontId="100" fillId="0" borderId="0" applyBorder="0" applyProtection="0"/>
    <xf numFmtId="174" fontId="100" fillId="0" borderId="0" applyBorder="0" applyProtection="0"/>
    <xf numFmtId="174" fontId="2" fillId="0" borderId="0" applyBorder="0" applyProtection="0"/>
    <xf numFmtId="174" fontId="100" fillId="0" borderId="0" applyBorder="0" applyProtection="0"/>
    <xf numFmtId="174" fontId="100" fillId="0" borderId="0" applyBorder="0" applyProtection="0"/>
    <xf numFmtId="175" fontId="2" fillId="0" borderId="0" applyBorder="0" applyProtection="0"/>
    <xf numFmtId="175" fontId="2" fillId="0" borderId="0" applyBorder="0" applyProtection="0"/>
    <xf numFmtId="175" fontId="2" fillId="0" borderId="0" applyBorder="0" applyProtection="0"/>
    <xf numFmtId="174" fontId="100" fillId="0" borderId="0" applyBorder="0" applyProtection="0"/>
    <xf numFmtId="174" fontId="100" fillId="0" borderId="0" applyBorder="0" applyProtection="0"/>
    <xf numFmtId="175" fontId="100" fillId="0" borderId="0" applyBorder="0" applyProtection="0"/>
    <xf numFmtId="176" fontId="100" fillId="0" borderId="0" applyBorder="0" applyProtection="0"/>
    <xf numFmtId="176" fontId="2" fillId="0" borderId="0" applyBorder="0" applyProtection="0"/>
    <xf numFmtId="174" fontId="100" fillId="0" borderId="0" applyBorder="0" applyProtection="0"/>
    <xf numFmtId="177" fontId="2" fillId="0" borderId="0" applyBorder="0" applyProtection="0"/>
    <xf numFmtId="174" fontId="100" fillId="0" borderId="0" applyBorder="0" applyProtection="0"/>
    <xf numFmtId="177" fontId="100" fillId="0" borderId="0" applyBorder="0" applyProtection="0"/>
    <xf numFmtId="174" fontId="100" fillId="0" borderId="0" applyBorder="0" applyProtection="0"/>
    <xf numFmtId="174" fontId="100" fillId="0" borderId="0" applyBorder="0" applyProtection="0"/>
    <xf numFmtId="174" fontId="100" fillId="0" borderId="0" applyBorder="0" applyProtection="0"/>
    <xf numFmtId="175" fontId="100" fillId="0" borderId="0" applyBorder="0" applyProtection="0"/>
    <xf numFmtId="174" fontId="100" fillId="0" borderId="0" applyBorder="0" applyProtection="0"/>
    <xf numFmtId="174" fontId="100" fillId="0" borderId="0" applyBorder="0" applyProtection="0"/>
    <xf numFmtId="175" fontId="100" fillId="0" borderId="0" applyBorder="0" applyProtection="0"/>
    <xf numFmtId="174" fontId="100" fillId="0" borderId="0" applyBorder="0" applyProtection="0"/>
    <xf numFmtId="174" fontId="100" fillId="0" borderId="0" applyBorder="0" applyProtection="0"/>
    <xf numFmtId="174" fontId="100" fillId="0" borderId="0" applyBorder="0" applyProtection="0"/>
    <xf numFmtId="174" fontId="100" fillId="0" borderId="0" applyBorder="0" applyProtection="0"/>
    <xf numFmtId="174" fontId="100" fillId="0" borderId="0" applyBorder="0" applyProtection="0"/>
    <xf numFmtId="175" fontId="100" fillId="0" borderId="0" applyBorder="0" applyProtection="0"/>
    <xf numFmtId="174" fontId="100" fillId="0" borderId="0" applyBorder="0" applyProtection="0"/>
    <xf numFmtId="174" fontId="100" fillId="0" borderId="0" applyBorder="0" applyProtection="0"/>
    <xf numFmtId="175" fontId="100" fillId="0" borderId="0" applyBorder="0" applyProtection="0"/>
    <xf numFmtId="174" fontId="100" fillId="0" borderId="0" applyBorder="0" applyProtection="0"/>
    <xf numFmtId="175" fontId="100" fillId="0" borderId="0" applyBorder="0" applyProtection="0"/>
    <xf numFmtId="175" fontId="100" fillId="0" borderId="0" applyBorder="0" applyProtection="0"/>
    <xf numFmtId="175" fontId="100" fillId="0" borderId="0" applyBorder="0" applyProtection="0"/>
    <xf numFmtId="174" fontId="100" fillId="0" borderId="0" applyBorder="0" applyProtection="0"/>
    <xf numFmtId="0" fontId="3" fillId="0" borderId="0"/>
    <xf numFmtId="0" fontId="2" fillId="0" borderId="0"/>
    <xf numFmtId="0" fontId="2" fillId="0" borderId="0"/>
    <xf numFmtId="0" fontId="2" fillId="0" borderId="0"/>
    <xf numFmtId="0" fontId="2" fillId="0" borderId="0"/>
    <xf numFmtId="0" fontId="2"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2" fillId="0" borderId="0"/>
    <xf numFmtId="0" fontId="2" fillId="0" borderId="0"/>
    <xf numFmtId="0" fontId="2" fillId="0" borderId="0"/>
    <xf numFmtId="0" fontId="2" fillId="0" borderId="0"/>
    <xf numFmtId="0" fontId="2" fillId="0" borderId="0"/>
    <xf numFmtId="0" fontId="2" fillId="0" borderId="0"/>
    <xf numFmtId="0" fontId="100" fillId="0" borderId="0"/>
    <xf numFmtId="0" fontId="2" fillId="0" borderId="0"/>
    <xf numFmtId="0" fontId="4" fillId="0" borderId="0"/>
    <xf numFmtId="0" fontId="2" fillId="0" borderId="0"/>
    <xf numFmtId="0" fontId="4" fillId="0" borderId="0"/>
    <xf numFmtId="0" fontId="100" fillId="0" borderId="0"/>
    <xf numFmtId="0" fontId="4" fillId="0" borderId="0"/>
    <xf numFmtId="0" fontId="100" fillId="0" borderId="0"/>
    <xf numFmtId="0" fontId="2" fillId="0" borderId="0" applyBorder="0" applyProtection="0"/>
    <xf numFmtId="0" fontId="100" fillId="0" borderId="0"/>
    <xf numFmtId="0" fontId="2" fillId="0" borderId="0" applyBorder="0" applyProtection="0"/>
    <xf numFmtId="0" fontId="100" fillId="0" borderId="0"/>
    <xf numFmtId="0" fontId="2" fillId="0" borderId="0" applyBorder="0" applyProtection="0"/>
    <xf numFmtId="0" fontId="2" fillId="0" borderId="0"/>
    <xf numFmtId="0" fontId="2" fillId="0" borderId="0"/>
    <xf numFmtId="0" fontId="100" fillId="0" borderId="0"/>
    <xf numFmtId="0" fontId="4" fillId="0" borderId="0"/>
    <xf numFmtId="0" fontId="4" fillId="0" borderId="0"/>
    <xf numFmtId="0" fontId="2" fillId="0" borderId="0"/>
    <xf numFmtId="0" fontId="4" fillId="0" borderId="0"/>
    <xf numFmtId="0" fontId="100" fillId="0" borderId="0"/>
    <xf numFmtId="0" fontId="5" fillId="0" borderId="0">
      <alignment vertical="top"/>
    </xf>
    <xf numFmtId="0" fontId="6" fillId="0" borderId="0">
      <alignment vertical="top"/>
    </xf>
    <xf numFmtId="0" fontId="2" fillId="0" borderId="0">
      <alignment vertical="top"/>
    </xf>
    <xf numFmtId="0" fontId="6" fillId="0" borderId="0">
      <alignment vertical="top"/>
    </xf>
    <xf numFmtId="0" fontId="6" fillId="0" borderId="0">
      <alignment vertical="top"/>
    </xf>
    <xf numFmtId="0" fontId="6" fillId="0" borderId="0">
      <alignment vertical="top"/>
    </xf>
    <xf numFmtId="0" fontId="2" fillId="0" borderId="0"/>
    <xf numFmtId="0" fontId="5" fillId="0" borderId="0">
      <alignment vertical="top"/>
    </xf>
    <xf numFmtId="0" fontId="3" fillId="0" borderId="0"/>
    <xf numFmtId="0" fontId="100" fillId="0" borderId="0"/>
    <xf numFmtId="0" fontId="2" fillId="0" borderId="0"/>
    <xf numFmtId="0" fontId="7" fillId="0" borderId="0"/>
    <xf numFmtId="0" fontId="7" fillId="0" borderId="0"/>
    <xf numFmtId="0" fontId="7" fillId="0" borderId="0"/>
    <xf numFmtId="0" fontId="7" fillId="0" borderId="0"/>
    <xf numFmtId="0" fontId="2" fillId="0" borderId="0"/>
    <xf numFmtId="0" fontId="2" fillId="0" borderId="0"/>
    <xf numFmtId="0" fontId="2" fillId="0" borderId="0"/>
    <xf numFmtId="0" fontId="100" fillId="0" borderId="0"/>
    <xf numFmtId="0" fontId="4" fillId="0" borderId="0"/>
    <xf numFmtId="0" fontId="4" fillId="0" borderId="0"/>
    <xf numFmtId="0" fontId="4" fillId="0" borderId="0"/>
    <xf numFmtId="0" fontId="2" fillId="0" borderId="0"/>
    <xf numFmtId="0" fontId="100" fillId="0" borderId="0"/>
    <xf numFmtId="0" fontId="7" fillId="0" borderId="0"/>
    <xf numFmtId="0" fontId="100" fillId="0" borderId="0"/>
    <xf numFmtId="0" fontId="7" fillId="0" borderId="0"/>
    <xf numFmtId="0" fontId="7" fillId="0" borderId="0"/>
    <xf numFmtId="0" fontId="7" fillId="0" borderId="0"/>
    <xf numFmtId="0" fontId="2" fillId="0" borderId="0"/>
    <xf numFmtId="0" fontId="2" fillId="0" borderId="0"/>
    <xf numFmtId="0" fontId="2"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2" fillId="0" borderId="0"/>
    <xf numFmtId="0" fontId="100" fillId="0" borderId="0"/>
    <xf numFmtId="0" fontId="100" fillId="0" borderId="0"/>
    <xf numFmtId="0" fontId="100" fillId="0" borderId="0"/>
    <xf numFmtId="0" fontId="100" fillId="0" borderId="0"/>
    <xf numFmtId="0" fontId="2" fillId="0" borderId="0"/>
    <xf numFmtId="0" fontId="100" fillId="0" borderId="0"/>
    <xf numFmtId="0" fontId="3" fillId="0" borderId="0"/>
    <xf numFmtId="0" fontId="2"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2" fillId="0" borderId="0" applyBorder="0" applyProtection="0"/>
    <xf numFmtId="178" fontId="2" fillId="0" borderId="0" applyBorder="0" applyProtection="0"/>
    <xf numFmtId="178" fontId="2" fillId="0" borderId="0" applyBorder="0" applyProtection="0"/>
    <xf numFmtId="178" fontId="2"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178" fontId="100" fillId="0" borderId="0" applyBorder="0" applyProtection="0"/>
    <xf numFmtId="0" fontId="2" fillId="2" borderId="0" applyBorder="0" applyProtection="0"/>
    <xf numFmtId="0" fontId="2" fillId="3" borderId="0" applyBorder="0" applyProtection="0"/>
    <xf numFmtId="0" fontId="2" fillId="4" borderId="0" applyBorder="0" applyProtection="0"/>
    <xf numFmtId="174" fontId="100" fillId="0" borderId="0" applyBorder="0" applyProtection="0"/>
    <xf numFmtId="174" fontId="100" fillId="0" borderId="0" applyBorder="0" applyProtection="0"/>
    <xf numFmtId="175" fontId="2" fillId="0" borderId="0" applyBorder="0" applyProtection="0"/>
    <xf numFmtId="0" fontId="2" fillId="0" borderId="0">
      <alignment vertical="top"/>
    </xf>
    <xf numFmtId="0" fontId="2" fillId="0" borderId="0">
      <alignment vertical="top"/>
    </xf>
    <xf numFmtId="174" fontId="100" fillId="0" borderId="0" applyBorder="0" applyProtection="0"/>
    <xf numFmtId="175" fontId="100" fillId="0" borderId="0" applyBorder="0" applyProtection="0"/>
    <xf numFmtId="175" fontId="100" fillId="0" borderId="0" applyBorder="0" applyProtection="0"/>
    <xf numFmtId="175" fontId="20" fillId="0" borderId="0" applyBorder="0" applyProtection="0"/>
    <xf numFmtId="0" fontId="101" fillId="0" borderId="0"/>
    <xf numFmtId="0" fontId="1" fillId="0" borderId="0"/>
    <xf numFmtId="41" fontId="1" fillId="0" borderId="0" applyFont="0" applyFill="0" applyBorder="0" applyAlignment="0" applyProtection="0"/>
    <xf numFmtId="41" fontId="101" fillId="0" borderId="0" applyFill="0" applyBorder="0" applyAlignment="0" applyProtection="0"/>
    <xf numFmtId="43" fontId="1" fillId="0" borderId="0" applyFont="0" applyFill="0" applyBorder="0" applyAlignment="0" applyProtection="0"/>
    <xf numFmtId="193" fontId="1" fillId="0" borderId="0" applyFont="0" applyFill="0" applyBorder="0" applyAlignment="0" applyProtection="0"/>
    <xf numFmtId="0" fontId="101" fillId="0" borderId="0"/>
    <xf numFmtId="0" fontId="102" fillId="0" borderId="0">
      <alignment vertical="top"/>
    </xf>
    <xf numFmtId="0" fontId="1" fillId="0" borderId="0"/>
    <xf numFmtId="0" fontId="103" fillId="0" borderId="0"/>
    <xf numFmtId="0" fontId="1" fillId="0" borderId="0"/>
    <xf numFmtId="0" fontId="103" fillId="0" borderId="0"/>
    <xf numFmtId="9" fontId="1" fillId="0" borderId="0" applyFont="0" applyFill="0" applyBorder="0" applyAlignment="0" applyProtection="0"/>
    <xf numFmtId="9" fontId="101" fillId="0" borderId="0" applyFill="0" applyBorder="0" applyAlignment="0" applyProtection="0"/>
    <xf numFmtId="9" fontId="1" fillId="0" borderId="0" applyFont="0" applyFill="0" applyBorder="0" applyAlignment="0" applyProtection="0"/>
    <xf numFmtId="9" fontId="103" fillId="0" borderId="0" applyFont="0" applyFill="0" applyBorder="0" applyAlignment="0" applyProtection="0"/>
    <xf numFmtId="41" fontId="100" fillId="0" borderId="0" applyFont="0" applyFill="0" applyBorder="0" applyAlignment="0" applyProtection="0"/>
  </cellStyleXfs>
  <cellXfs count="803">
    <xf numFmtId="0" fontId="0" fillId="0" borderId="0" xfId="0"/>
    <xf numFmtId="0" fontId="0" fillId="0" borderId="0" xfId="0" applyAlignment="1">
      <alignment vertical="top"/>
    </xf>
    <xf numFmtId="0" fontId="13" fillId="0" borderId="8"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left" vertical="top" wrapText="1"/>
    </xf>
    <xf numFmtId="0" fontId="5" fillId="0" borderId="0" xfId="0" applyFont="1"/>
    <xf numFmtId="0" fontId="5" fillId="0" borderId="0" xfId="0" applyFont="1" applyAlignment="1">
      <alignment horizontal="left"/>
    </xf>
    <xf numFmtId="0" fontId="8" fillId="0" borderId="0" xfId="0" applyFont="1" applyAlignment="1">
      <alignment horizontal="left" vertical="center"/>
    </xf>
    <xf numFmtId="0" fontId="9" fillId="5" borderId="0" xfId="0" applyFont="1" applyFill="1" applyAlignment="1">
      <alignment horizontal="left" vertical="center"/>
    </xf>
    <xf numFmtId="0" fontId="5" fillId="0" borderId="0" xfId="0" applyFont="1" applyAlignment="1">
      <alignment vertical="center"/>
    </xf>
    <xf numFmtId="0" fontId="10" fillId="0" borderId="0" xfId="0" applyFont="1" applyAlignment="1">
      <alignment horizontal="right"/>
    </xf>
    <xf numFmtId="0" fontId="10" fillId="5" borderId="0" xfId="0" applyFont="1" applyFill="1" applyAlignment="1">
      <alignment horizontal="left"/>
    </xf>
    <xf numFmtId="179" fontId="10" fillId="5" borderId="0" xfId="0" applyNumberFormat="1" applyFont="1" applyFill="1" applyAlignment="1">
      <alignment horizontal="center"/>
    </xf>
    <xf numFmtId="180" fontId="10" fillId="0" borderId="0" xfId="0" applyNumberFormat="1" applyFont="1" applyAlignment="1">
      <alignment horizontal="left"/>
    </xf>
    <xf numFmtId="0" fontId="5" fillId="6" borderId="0" xfId="0" applyFont="1" applyFill="1"/>
    <xf numFmtId="0" fontId="5" fillId="6" borderId="0" xfId="0" applyFont="1" applyFill="1" applyAlignment="1">
      <alignment horizontal="left"/>
    </xf>
    <xf numFmtId="0" fontId="11" fillId="0" borderId="0" xfId="0" applyFont="1" applyAlignment="1">
      <alignment horizontal="center" vertical="center"/>
    </xf>
    <xf numFmtId="0" fontId="5" fillId="0" borderId="1" xfId="0" applyFont="1" applyBorder="1"/>
    <xf numFmtId="0" fontId="12" fillId="5" borderId="2" xfId="0" applyFont="1" applyFill="1" applyBorder="1" applyAlignment="1">
      <alignment horizontal="center" vertical="center"/>
    </xf>
    <xf numFmtId="0" fontId="10" fillId="0" borderId="3" xfId="0" applyFont="1" applyBorder="1" applyAlignment="1">
      <alignment horizontal="center" vertical="center"/>
    </xf>
    <xf numFmtId="0" fontId="12" fillId="5" borderId="4" xfId="0" applyFont="1" applyFill="1" applyBorder="1" applyAlignment="1">
      <alignment vertical="center"/>
    </xf>
    <xf numFmtId="0" fontId="13" fillId="5" borderId="0" xfId="0" applyFont="1" applyFill="1" applyAlignment="1">
      <alignment vertical="center"/>
    </xf>
    <xf numFmtId="0" fontId="14" fillId="0" borderId="5" xfId="3" applyBorder="1" applyAlignment="1" applyProtection="1">
      <alignment horizontal="center" vertical="center"/>
    </xf>
    <xf numFmtId="0" fontId="11" fillId="0" borderId="0" xfId="0" applyFont="1"/>
    <xf numFmtId="0" fontId="5" fillId="0" borderId="4" xfId="0" applyFont="1" applyBorder="1"/>
    <xf numFmtId="0" fontId="14" fillId="0" borderId="5" xfId="3" applyBorder="1" applyAlignment="1" applyProtection="1">
      <alignment horizontal="center"/>
    </xf>
    <xf numFmtId="0" fontId="15" fillId="0" borderId="5" xfId="3" applyFont="1" applyBorder="1" applyAlignment="1" applyProtection="1">
      <alignment horizontal="center"/>
    </xf>
    <xf numFmtId="0" fontId="5" fillId="0" borderId="6" xfId="0" applyFont="1" applyBorder="1"/>
    <xf numFmtId="0" fontId="5" fillId="0" borderId="7" xfId="0" applyFont="1" applyBorder="1"/>
    <xf numFmtId="0" fontId="14" fillId="0" borderId="8" xfId="3" applyBorder="1" applyAlignment="1" applyProtection="1">
      <alignment horizontal="center" vertical="center"/>
    </xf>
    <xf numFmtId="0" fontId="5" fillId="0" borderId="0" xfId="0" applyFont="1" applyAlignment="1">
      <alignment horizontal="center"/>
    </xf>
    <xf numFmtId="0" fontId="16" fillId="0" borderId="0" xfId="0" applyFont="1" applyAlignment="1">
      <alignment horizontal="left"/>
    </xf>
    <xf numFmtId="0" fontId="17" fillId="0" borderId="0" xfId="0" applyFont="1"/>
    <xf numFmtId="0" fontId="14" fillId="0" borderId="0" xfId="3" applyBorder="1" applyAlignment="1" applyProtection="1">
      <alignment horizontal="center" vertical="center"/>
      <protection locked="0"/>
    </xf>
    <xf numFmtId="180" fontId="12" fillId="0" borderId="0" xfId="0" applyNumberFormat="1" applyFont="1"/>
    <xf numFmtId="0" fontId="18" fillId="0" borderId="0" xfId="0" applyFont="1"/>
    <xf numFmtId="0" fontId="18" fillId="0" borderId="9" xfId="0" applyFont="1" applyBorder="1" applyAlignment="1">
      <alignment horizontal="left"/>
    </xf>
    <xf numFmtId="180" fontId="18" fillId="0" borderId="9" xfId="0" applyNumberFormat="1" applyFont="1" applyBorder="1" applyAlignment="1">
      <alignment horizontal="left"/>
    </xf>
    <xf numFmtId="0" fontId="18" fillId="0" borderId="9" xfId="0" applyFont="1" applyBorder="1"/>
    <xf numFmtId="0" fontId="10" fillId="0" borderId="9" xfId="0" applyFont="1" applyBorder="1" applyAlignment="1">
      <alignment horizontal="left"/>
    </xf>
    <xf numFmtId="0" fontId="10" fillId="0" borderId="9" xfId="0" applyFont="1" applyBorder="1"/>
    <xf numFmtId="0" fontId="11" fillId="0" borderId="9" xfId="0" applyFont="1" applyBorder="1"/>
    <xf numFmtId="0" fontId="18" fillId="0" borderId="3" xfId="0" applyFont="1" applyBorder="1" applyAlignment="1">
      <alignment vertical="center"/>
    </xf>
    <xf numFmtId="0" fontId="11" fillId="0" borderId="10" xfId="0" applyFont="1" applyBorder="1"/>
    <xf numFmtId="0" fontId="11" fillId="0" borderId="0" xfId="0" applyFont="1" applyAlignment="1">
      <alignment horizontal="center"/>
    </xf>
    <xf numFmtId="0" fontId="18" fillId="0" borderId="9" xfId="0" applyFont="1" applyBorder="1" applyAlignment="1">
      <alignment horizontal="center"/>
    </xf>
    <xf numFmtId="0" fontId="11" fillId="0" borderId="9" xfId="0" applyFont="1" applyBorder="1" applyAlignment="1">
      <alignment horizontal="left"/>
    </xf>
    <xf numFmtId="3" fontId="11" fillId="0" borderId="9" xfId="0" applyNumberFormat="1" applyFont="1" applyBorder="1" applyAlignment="1">
      <alignment horizontal="center"/>
    </xf>
    <xf numFmtId="0" fontId="11" fillId="0" borderId="9" xfId="0" applyFont="1" applyBorder="1" applyAlignment="1">
      <alignment horizontal="center"/>
    </xf>
    <xf numFmtId="3" fontId="11" fillId="0" borderId="9" xfId="0" applyNumberFormat="1" applyFont="1" applyBorder="1"/>
    <xf numFmtId="178" fontId="100" fillId="0" borderId="9" xfId="2" applyBorder="1" applyProtection="1"/>
    <xf numFmtId="0" fontId="5" fillId="0" borderId="9" xfId="0" applyFont="1" applyBorder="1"/>
    <xf numFmtId="3" fontId="18" fillId="0" borderId="9" xfId="0" applyNumberFormat="1" applyFont="1" applyBorder="1"/>
    <xf numFmtId="178" fontId="19" fillId="0" borderId="9" xfId="2" applyFont="1" applyBorder="1" applyProtection="1"/>
    <xf numFmtId="0" fontId="10" fillId="0" borderId="0" xfId="0" applyFont="1"/>
    <xf numFmtId="3" fontId="18" fillId="0" borderId="0" xfId="0" applyNumberFormat="1" applyFont="1"/>
    <xf numFmtId="178" fontId="100" fillId="0" borderId="0" xfId="2" applyBorder="1" applyProtection="1"/>
    <xf numFmtId="3" fontId="5" fillId="0" borderId="0" xfId="0" applyNumberFormat="1" applyFont="1"/>
    <xf numFmtId="0" fontId="10" fillId="0" borderId="9" xfId="0" applyFont="1" applyBorder="1" applyAlignment="1">
      <alignment horizontal="center"/>
    </xf>
    <xf numFmtId="0" fontId="10" fillId="0" borderId="9" xfId="0" applyFont="1" applyBorder="1" applyAlignment="1">
      <alignment horizontal="right"/>
    </xf>
    <xf numFmtId="0" fontId="5" fillId="0" borderId="9" xfId="0" applyFont="1" applyBorder="1" applyAlignment="1">
      <alignment horizontal="right"/>
    </xf>
    <xf numFmtId="0" fontId="11" fillId="0" borderId="0" xfId="0" applyFont="1" applyProtection="1">
      <protection locked="0"/>
    </xf>
    <xf numFmtId="0" fontId="11" fillId="5" borderId="0" xfId="0" applyFont="1" applyFill="1" applyProtection="1">
      <protection locked="0"/>
    </xf>
    <xf numFmtId="0" fontId="20" fillId="0" borderId="0" xfId="0" applyFont="1" applyProtection="1">
      <protection locked="0"/>
    </xf>
    <xf numFmtId="0" fontId="14" fillId="5" borderId="0" xfId="3" applyFill="1" applyBorder="1" applyAlignment="1" applyProtection="1">
      <alignment horizontal="center" vertical="center"/>
      <protection locked="0"/>
    </xf>
    <xf numFmtId="0" fontId="21" fillId="0" borderId="0" xfId="0" applyFont="1" applyProtection="1">
      <protection locked="0"/>
    </xf>
    <xf numFmtId="174" fontId="11" fillId="0" borderId="0" xfId="0" applyNumberFormat="1" applyFont="1" applyProtection="1">
      <protection locked="0"/>
    </xf>
    <xf numFmtId="0" fontId="22" fillId="0" borderId="0" xfId="0" applyFont="1" applyProtection="1">
      <protection locked="0"/>
    </xf>
    <xf numFmtId="0" fontId="22" fillId="5" borderId="0" xfId="0" applyFont="1" applyFill="1" applyProtection="1">
      <protection locked="0"/>
    </xf>
    <xf numFmtId="0" fontId="22" fillId="7" borderId="0" xfId="0" applyFont="1" applyFill="1" applyProtection="1">
      <protection locked="0"/>
    </xf>
    <xf numFmtId="0" fontId="23" fillId="7" borderId="0" xfId="1" applyNumberFormat="1" applyFont="1" applyFill="1" applyBorder="1" applyAlignment="1" applyProtection="1">
      <alignment horizontal="center"/>
      <protection locked="0"/>
    </xf>
    <xf numFmtId="0" fontId="23" fillId="5" borderId="0" xfId="0" applyFont="1" applyFill="1" applyAlignment="1" applyProtection="1">
      <alignment horizontal="center" vertical="center"/>
      <protection locked="0"/>
    </xf>
    <xf numFmtId="0" fontId="12" fillId="0" borderId="0" xfId="0" applyFont="1" applyAlignment="1">
      <alignment vertical="top"/>
    </xf>
    <xf numFmtId="0" fontId="5" fillId="0" borderId="0" xfId="0" applyFont="1" applyAlignment="1">
      <alignment vertical="top"/>
    </xf>
    <xf numFmtId="0" fontId="5" fillId="5" borderId="0" xfId="0" applyFont="1" applyFill="1" applyAlignment="1" applyProtection="1">
      <alignment horizontal="center" vertical="center"/>
      <protection locked="0"/>
    </xf>
    <xf numFmtId="0" fontId="5" fillId="0" borderId="0" xfId="0" applyFont="1" applyProtection="1">
      <protection locked="0"/>
    </xf>
    <xf numFmtId="181" fontId="5" fillId="0" borderId="0" xfId="1" applyNumberFormat="1" applyFont="1" applyBorder="1" applyProtection="1">
      <protection locked="0"/>
    </xf>
    <xf numFmtId="0" fontId="14" fillId="0" borderId="0" xfId="3" applyBorder="1" applyAlignment="1" applyProtection="1">
      <alignment horizontal="center"/>
      <protection locked="0"/>
    </xf>
    <xf numFmtId="174" fontId="5" fillId="0" borderId="0" xfId="275" applyFont="1" applyBorder="1" applyProtection="1">
      <protection locked="0"/>
    </xf>
    <xf numFmtId="181" fontId="22" fillId="0" borderId="0" xfId="0" applyNumberFormat="1" applyFont="1" applyProtection="1">
      <protection locked="0"/>
    </xf>
    <xf numFmtId="181" fontId="12" fillId="0" borderId="11" xfId="1" applyNumberFormat="1" applyFont="1" applyBorder="1" applyProtection="1">
      <protection locked="0"/>
    </xf>
    <xf numFmtId="181" fontId="2" fillId="0" borderId="0" xfId="1" applyNumberFormat="1" applyFont="1" applyBorder="1" applyProtection="1">
      <protection locked="0"/>
    </xf>
    <xf numFmtId="0" fontId="24" fillId="5" borderId="0" xfId="0" applyFont="1" applyFill="1" applyAlignment="1" applyProtection="1">
      <alignment horizontal="center" vertical="center"/>
      <protection locked="0"/>
    </xf>
    <xf numFmtId="181" fontId="23" fillId="7" borderId="0" xfId="1" applyNumberFormat="1" applyFont="1" applyFill="1" applyBorder="1" applyProtection="1">
      <protection locked="0"/>
    </xf>
    <xf numFmtId="181" fontId="23" fillId="7" borderId="2" xfId="1" applyNumberFormat="1" applyFont="1" applyFill="1" applyBorder="1" applyProtection="1">
      <protection locked="0"/>
    </xf>
    <xf numFmtId="179" fontId="25" fillId="5" borderId="0" xfId="1" applyNumberFormat="1" applyFont="1" applyFill="1" applyBorder="1" applyAlignment="1" applyProtection="1">
      <alignment horizontal="center"/>
      <protection locked="0"/>
    </xf>
    <xf numFmtId="0" fontId="26" fillId="0" borderId="0" xfId="0" applyFont="1" applyProtection="1">
      <protection locked="0"/>
    </xf>
    <xf numFmtId="181" fontId="5" fillId="0" borderId="0" xfId="0" applyNumberFormat="1" applyFont="1" applyAlignment="1">
      <alignment vertical="top"/>
    </xf>
    <xf numFmtId="181" fontId="5" fillId="5" borderId="0" xfId="0" applyNumberFormat="1" applyFont="1" applyFill="1" applyAlignment="1" applyProtection="1">
      <alignment horizontal="center" vertical="center"/>
      <protection locked="0"/>
    </xf>
    <xf numFmtId="181" fontId="5" fillId="0" borderId="0" xfId="0" applyNumberFormat="1" applyFont="1" applyProtection="1">
      <protection locked="0"/>
    </xf>
    <xf numFmtId="0" fontId="12" fillId="5" borderId="0" xfId="0" applyFont="1" applyFill="1" applyAlignment="1" applyProtection="1">
      <alignment horizontal="center" vertical="center"/>
      <protection locked="0"/>
    </xf>
    <xf numFmtId="0" fontId="0" fillId="0" borderId="0" xfId="0" applyProtection="1">
      <protection locked="0"/>
    </xf>
    <xf numFmtId="181" fontId="27" fillId="7" borderId="0" xfId="1" applyNumberFormat="1" applyFont="1" applyFill="1" applyBorder="1" applyProtection="1">
      <protection locked="0"/>
    </xf>
    <xf numFmtId="0" fontId="28" fillId="5" borderId="0" xfId="0" applyFont="1" applyFill="1" applyAlignment="1" applyProtection="1">
      <alignment horizontal="center" vertical="center"/>
      <protection locked="0"/>
    </xf>
    <xf numFmtId="0" fontId="12" fillId="0" borderId="0" xfId="0" applyFont="1" applyProtection="1">
      <protection locked="0"/>
    </xf>
    <xf numFmtId="181" fontId="29" fillId="0" borderId="0" xfId="0" applyNumberFormat="1" applyFont="1" applyProtection="1">
      <protection locked="0"/>
    </xf>
    <xf numFmtId="0" fontId="22" fillId="5" borderId="0" xfId="0" applyFont="1" applyFill="1" applyAlignment="1" applyProtection="1">
      <alignment horizontal="center" vertical="center"/>
      <protection locked="0"/>
    </xf>
    <xf numFmtId="0" fontId="30" fillId="0" borderId="0" xfId="0" applyFont="1" applyProtection="1">
      <protection locked="0"/>
    </xf>
    <xf numFmtId="182" fontId="31" fillId="0" borderId="0" xfId="275" applyNumberFormat="1" applyFont="1" applyBorder="1" applyProtection="1">
      <protection locked="0"/>
    </xf>
    <xf numFmtId="0" fontId="32" fillId="0" borderId="0" xfId="0" applyFont="1" applyProtection="1">
      <protection locked="0"/>
    </xf>
    <xf numFmtId="181" fontId="33" fillId="0" borderId="0" xfId="1" applyNumberFormat="1" applyFont="1" applyBorder="1" applyProtection="1">
      <protection locked="0"/>
    </xf>
    <xf numFmtId="181" fontId="33" fillId="5" borderId="0" xfId="1" applyNumberFormat="1" applyFont="1" applyFill="1" applyBorder="1" applyAlignment="1" applyProtection="1">
      <alignment horizontal="center" vertical="center"/>
      <protection locked="0"/>
    </xf>
    <xf numFmtId="0" fontId="33" fillId="0" borderId="0" xfId="0" applyFont="1" applyProtection="1">
      <protection locked="0"/>
    </xf>
    <xf numFmtId="181" fontId="34" fillId="0" borderId="0" xfId="1" applyNumberFormat="1" applyFont="1" applyBorder="1" applyProtection="1">
      <protection locked="0"/>
    </xf>
    <xf numFmtId="181" fontId="34" fillId="0" borderId="0" xfId="1" applyNumberFormat="1" applyFont="1" applyBorder="1" applyAlignment="1" applyProtection="1">
      <alignment horizontal="left"/>
      <protection locked="0"/>
    </xf>
    <xf numFmtId="181" fontId="34" fillId="0" borderId="0" xfId="1" applyNumberFormat="1" applyFont="1" applyBorder="1" applyAlignment="1" applyProtection="1">
      <alignment horizontal="center" vertical="center"/>
      <protection locked="0"/>
    </xf>
    <xf numFmtId="0" fontId="34" fillId="0" borderId="0" xfId="0" applyFont="1" applyProtection="1">
      <protection locked="0"/>
    </xf>
    <xf numFmtId="0" fontId="34" fillId="5" borderId="0" xfId="0" applyFont="1" applyFill="1" applyAlignment="1" applyProtection="1">
      <alignment horizontal="center" vertical="center"/>
      <protection locked="0"/>
    </xf>
    <xf numFmtId="0" fontId="33" fillId="5" borderId="0" xfId="0" applyFont="1" applyFill="1" applyAlignment="1" applyProtection="1">
      <alignment horizontal="center" vertical="center"/>
      <protection locked="0"/>
    </xf>
    <xf numFmtId="0" fontId="5" fillId="0" borderId="0" xfId="0" applyFont="1" applyAlignment="1" applyProtection="1">
      <alignment horizontal="left"/>
      <protection locked="0"/>
    </xf>
    <xf numFmtId="181" fontId="13" fillId="0" borderId="0" xfId="1" applyNumberFormat="1" applyFont="1" applyBorder="1" applyProtection="1">
      <protection locked="0"/>
    </xf>
    <xf numFmtId="0" fontId="13" fillId="0" borderId="0" xfId="0" applyFont="1" applyProtection="1">
      <protection locked="0"/>
    </xf>
    <xf numFmtId="0" fontId="13" fillId="5" borderId="0" xfId="0" applyFont="1" applyFill="1" applyAlignment="1" applyProtection="1">
      <alignment horizontal="center" vertical="center"/>
      <protection locked="0"/>
    </xf>
    <xf numFmtId="165" fontId="11" fillId="0" borderId="0" xfId="1" applyFont="1" applyBorder="1" applyProtection="1">
      <protection locked="0"/>
    </xf>
    <xf numFmtId="165" fontId="11" fillId="5" borderId="0" xfId="1" applyFont="1" applyFill="1" applyBorder="1" applyAlignment="1" applyProtection="1">
      <alignment horizontal="center" vertical="center"/>
      <protection locked="0"/>
    </xf>
    <xf numFmtId="0" fontId="11" fillId="5" borderId="0" xfId="0" applyFont="1" applyFill="1" applyAlignment="1" applyProtection="1">
      <alignment horizontal="center" vertical="center"/>
      <protection locked="0"/>
    </xf>
    <xf numFmtId="181" fontId="11" fillId="0" borderId="0" xfId="1" applyNumberFormat="1" applyFont="1" applyBorder="1" applyProtection="1">
      <protection locked="0"/>
    </xf>
    <xf numFmtId="0" fontId="13" fillId="5" borderId="0" xfId="0" applyFont="1" applyFill="1" applyProtection="1">
      <protection locked="0"/>
    </xf>
    <xf numFmtId="3" fontId="5" fillId="0" borderId="0" xfId="0" applyNumberFormat="1" applyFont="1" applyAlignment="1" applyProtection="1">
      <alignment horizontal="center"/>
      <protection locked="0"/>
    </xf>
    <xf numFmtId="3" fontId="12" fillId="0" borderId="0" xfId="0" applyNumberFormat="1" applyFont="1" applyAlignment="1" applyProtection="1">
      <alignment horizontal="center"/>
      <protection locked="0"/>
    </xf>
    <xf numFmtId="0" fontId="5" fillId="0" borderId="0" xfId="0" applyFont="1" applyAlignment="1" applyProtection="1">
      <alignment horizontal="center"/>
      <protection locked="0"/>
    </xf>
    <xf numFmtId="165" fontId="5" fillId="0" borderId="0" xfId="1" applyFont="1" applyBorder="1" applyProtection="1">
      <protection locked="0"/>
    </xf>
    <xf numFmtId="165" fontId="5" fillId="5" borderId="0" xfId="1" applyFont="1" applyFill="1" applyBorder="1" applyAlignment="1" applyProtection="1">
      <alignment horizontal="center" vertical="center"/>
      <protection locked="0"/>
    </xf>
    <xf numFmtId="3" fontId="5" fillId="0" borderId="0" xfId="1" applyNumberFormat="1" applyFont="1" applyBorder="1" applyAlignment="1" applyProtection="1">
      <alignment horizontal="center"/>
      <protection locked="0"/>
    </xf>
    <xf numFmtId="181" fontId="35" fillId="7" borderId="0" xfId="0" applyNumberFormat="1" applyFont="1" applyFill="1" applyAlignment="1" applyProtection="1">
      <alignment horizontal="center" vertical="center"/>
      <protection locked="0"/>
    </xf>
    <xf numFmtId="179" fontId="23" fillId="7" borderId="0" xfId="1" applyNumberFormat="1" applyFont="1" applyFill="1" applyBorder="1" applyAlignment="1" applyProtection="1">
      <alignment horizontal="center" vertical="center"/>
      <protection locked="0"/>
    </xf>
    <xf numFmtId="1" fontId="23" fillId="7" borderId="0" xfId="1" applyNumberFormat="1" applyFont="1" applyFill="1" applyBorder="1" applyAlignment="1" applyProtection="1">
      <alignment horizontal="center"/>
      <protection locked="0"/>
    </xf>
    <xf numFmtId="3" fontId="5" fillId="0" borderId="0" xfId="275" applyNumberFormat="1" applyFont="1" applyBorder="1" applyAlignment="1" applyProtection="1">
      <alignment horizontal="right"/>
      <protection locked="0"/>
    </xf>
    <xf numFmtId="0" fontId="10" fillId="0" borderId="0" xfId="0" applyFont="1" applyProtection="1">
      <protection locked="0"/>
    </xf>
    <xf numFmtId="0" fontId="12" fillId="0" borderId="0" xfId="0" applyFont="1"/>
    <xf numFmtId="3" fontId="5" fillId="0" borderId="0" xfId="1" applyNumberFormat="1" applyFont="1" applyBorder="1" applyAlignment="1" applyProtection="1">
      <alignment horizontal="right"/>
      <protection locked="0"/>
    </xf>
    <xf numFmtId="0" fontId="12" fillId="0" borderId="0" xfId="0" applyFont="1" applyAlignment="1">
      <alignment wrapText="1"/>
    </xf>
    <xf numFmtId="3" fontId="10" fillId="0" borderId="0" xfId="1" applyNumberFormat="1" applyFont="1" applyBorder="1" applyAlignment="1" applyProtection="1">
      <alignment horizontal="right"/>
      <protection locked="0"/>
    </xf>
    <xf numFmtId="0" fontId="19" fillId="0" borderId="0" xfId="0" applyFont="1"/>
    <xf numFmtId="3" fontId="10" fillId="0" borderId="0" xfId="1" applyNumberFormat="1" applyFont="1" applyBorder="1" applyAlignment="1" applyProtection="1">
      <alignment horizontal="center"/>
      <protection locked="0"/>
    </xf>
    <xf numFmtId="3" fontId="12" fillId="0" borderId="0" xfId="1" applyNumberFormat="1" applyFont="1" applyBorder="1" applyAlignment="1" applyProtection="1">
      <alignment horizontal="center"/>
      <protection locked="0"/>
    </xf>
    <xf numFmtId="181" fontId="5" fillId="0" borderId="0" xfId="1" applyNumberFormat="1" applyFont="1" applyBorder="1" applyAlignment="1" applyProtection="1">
      <alignment horizontal="center"/>
      <protection locked="0"/>
    </xf>
    <xf numFmtId="181" fontId="5" fillId="5" borderId="0" xfId="1" applyNumberFormat="1" applyFont="1" applyFill="1" applyBorder="1" applyAlignment="1" applyProtection="1">
      <alignment horizontal="center" vertical="center"/>
      <protection locked="0"/>
    </xf>
    <xf numFmtId="181" fontId="12" fillId="0" borderId="0" xfId="1" applyNumberFormat="1" applyFont="1" applyBorder="1" applyProtection="1">
      <protection locked="0"/>
    </xf>
    <xf numFmtId="181" fontId="12" fillId="5" borderId="0" xfId="1" applyNumberFormat="1" applyFont="1" applyFill="1" applyBorder="1" applyAlignment="1" applyProtection="1">
      <alignment horizontal="center" vertical="center"/>
      <protection locked="0"/>
    </xf>
    <xf numFmtId="183" fontId="5" fillId="0" borderId="0" xfId="1" applyNumberFormat="1" applyFont="1" applyBorder="1" applyProtection="1"/>
    <xf numFmtId="183" fontId="26" fillId="0" borderId="0" xfId="1" applyNumberFormat="1" applyFont="1" applyBorder="1" applyProtection="1"/>
    <xf numFmtId="183" fontId="26" fillId="5" borderId="0" xfId="1" applyNumberFormat="1" applyFont="1" applyFill="1" applyBorder="1" applyProtection="1"/>
    <xf numFmtId="0" fontId="5" fillId="5" borderId="0" xfId="0" applyFont="1" applyFill="1"/>
    <xf numFmtId="0" fontId="36" fillId="0" borderId="0" xfId="0" applyFont="1"/>
    <xf numFmtId="183" fontId="37" fillId="0" borderId="0" xfId="1" applyNumberFormat="1" applyFont="1" applyBorder="1" applyProtection="1"/>
    <xf numFmtId="183" fontId="14" fillId="0" borderId="0" xfId="3" applyNumberFormat="1" applyBorder="1" applyAlignment="1" applyProtection="1">
      <alignment horizontal="center" vertical="center"/>
    </xf>
    <xf numFmtId="0" fontId="38" fillId="0" borderId="0" xfId="0" applyFont="1"/>
    <xf numFmtId="0" fontId="26" fillId="0" borderId="0" xfId="0" applyFont="1"/>
    <xf numFmtId="0" fontId="38" fillId="0" borderId="0" xfId="0" applyFont="1" applyAlignment="1">
      <alignment horizontal="center"/>
    </xf>
    <xf numFmtId="0" fontId="20" fillId="0" borderId="0" xfId="0" applyFont="1"/>
    <xf numFmtId="0" fontId="20" fillId="0" borderId="0" xfId="0" applyFont="1" applyAlignment="1">
      <alignment horizontal="center"/>
    </xf>
    <xf numFmtId="0" fontId="27" fillId="7" borderId="0" xfId="0" applyFont="1" applyFill="1" applyAlignment="1">
      <alignment horizontal="center" vertical="center" wrapText="1"/>
    </xf>
    <xf numFmtId="183" fontId="27" fillId="8" borderId="0" xfId="1" applyNumberFormat="1" applyFont="1" applyFill="1" applyBorder="1" applyAlignment="1" applyProtection="1">
      <alignment horizontal="center"/>
    </xf>
    <xf numFmtId="183" fontId="5" fillId="0" borderId="0" xfId="1" applyNumberFormat="1" applyFont="1" applyBorder="1" applyAlignment="1" applyProtection="1">
      <alignment horizontal="center"/>
    </xf>
    <xf numFmtId="183" fontId="27" fillId="5" borderId="0" xfId="1" applyNumberFormat="1" applyFont="1" applyFill="1" applyBorder="1" applyAlignment="1" applyProtection="1">
      <alignment horizontal="center" vertical="center" wrapText="1"/>
    </xf>
    <xf numFmtId="183" fontId="5" fillId="5" borderId="0" xfId="1" applyNumberFormat="1" applyFont="1" applyFill="1" applyBorder="1" applyProtection="1"/>
    <xf numFmtId="0" fontId="27" fillId="9" borderId="0" xfId="0" applyFont="1" applyFill="1" applyAlignment="1">
      <alignment vertical="center"/>
    </xf>
    <xf numFmtId="183" fontId="27" fillId="9" borderId="0" xfId="1" applyNumberFormat="1" applyFont="1" applyFill="1" applyBorder="1" applyProtection="1"/>
    <xf numFmtId="184" fontId="27" fillId="9" borderId="0" xfId="24" applyNumberFormat="1" applyFont="1" applyFill="1" applyBorder="1" applyAlignment="1" applyProtection="1">
      <alignment vertical="center"/>
    </xf>
    <xf numFmtId="183" fontId="27" fillId="5" borderId="0" xfId="1" applyNumberFormat="1" applyFont="1" applyFill="1" applyBorder="1" applyProtection="1"/>
    <xf numFmtId="183" fontId="27" fillId="9" borderId="0" xfId="1" applyNumberFormat="1" applyFont="1" applyFill="1" applyBorder="1" applyAlignment="1" applyProtection="1">
      <alignment vertical="center"/>
    </xf>
    <xf numFmtId="0" fontId="0" fillId="5" borderId="0" xfId="0" applyFill="1"/>
    <xf numFmtId="0" fontId="27" fillId="5" borderId="0" xfId="0" applyFont="1" applyFill="1" applyAlignment="1">
      <alignment vertical="center"/>
    </xf>
    <xf numFmtId="183" fontId="12" fillId="0" borderId="0" xfId="1" applyNumberFormat="1" applyFont="1" applyBorder="1" applyProtection="1"/>
    <xf numFmtId="183" fontId="39" fillId="0" borderId="0" xfId="1" applyNumberFormat="1" applyFont="1" applyBorder="1" applyProtection="1"/>
    <xf numFmtId="183" fontId="27" fillId="5" borderId="0" xfId="1" applyNumberFormat="1" applyFont="1" applyFill="1" applyBorder="1" applyAlignment="1" applyProtection="1">
      <alignment vertical="center"/>
    </xf>
    <xf numFmtId="185" fontId="2" fillId="0" borderId="0" xfId="1" applyNumberFormat="1" applyFont="1" applyBorder="1" applyProtection="1"/>
    <xf numFmtId="183" fontId="39" fillId="0" borderId="0" xfId="0" applyNumberFormat="1" applyFont="1"/>
    <xf numFmtId="183" fontId="5" fillId="0" borderId="0" xfId="0" applyNumberFormat="1" applyFont="1"/>
    <xf numFmtId="0" fontId="5" fillId="5" borderId="0" xfId="0" applyFont="1" applyFill="1" applyAlignment="1">
      <alignment vertical="center"/>
    </xf>
    <xf numFmtId="183" fontId="5" fillId="5" borderId="0" xfId="0" applyNumberFormat="1" applyFont="1" applyFill="1"/>
    <xf numFmtId="183" fontId="12" fillId="0" borderId="12" xfId="1" applyNumberFormat="1" applyFont="1" applyBorder="1" applyProtection="1"/>
    <xf numFmtId="183" fontId="2" fillId="0" borderId="0" xfId="1" applyNumberFormat="1" applyFont="1" applyBorder="1" applyProtection="1"/>
    <xf numFmtId="0" fontId="12" fillId="5" borderId="0" xfId="0" applyFont="1" applyFill="1"/>
    <xf numFmtId="183" fontId="12" fillId="5" borderId="0" xfId="1" applyNumberFormat="1" applyFont="1" applyFill="1" applyBorder="1" applyProtection="1"/>
    <xf numFmtId="183" fontId="2" fillId="5" borderId="0" xfId="1" applyNumberFormat="1" applyFont="1" applyFill="1" applyBorder="1" applyProtection="1"/>
    <xf numFmtId="183" fontId="39" fillId="5" borderId="0" xfId="1" applyNumberFormat="1" applyFont="1" applyFill="1" applyBorder="1" applyProtection="1"/>
    <xf numFmtId="0" fontId="22" fillId="0" borderId="0" xfId="0" applyFont="1"/>
    <xf numFmtId="181" fontId="20" fillId="0" borderId="0" xfId="1" applyNumberFormat="1" applyFont="1" applyBorder="1" applyAlignment="1" applyProtection="1">
      <alignment horizontal="right"/>
    </xf>
    <xf numFmtId="181" fontId="20" fillId="0" borderId="0" xfId="1" applyNumberFormat="1" applyFont="1" applyBorder="1" applyProtection="1"/>
    <xf numFmtId="0" fontId="40" fillId="0" borderId="0" xfId="0" applyFont="1"/>
    <xf numFmtId="0" fontId="41" fillId="0" borderId="0" xfId="0" applyFont="1"/>
    <xf numFmtId="181" fontId="41" fillId="0" borderId="0" xfId="1" applyNumberFormat="1" applyFont="1" applyBorder="1" applyAlignment="1" applyProtection="1">
      <alignment horizontal="right"/>
    </xf>
    <xf numFmtId="181" fontId="41" fillId="0" borderId="0" xfId="1" applyNumberFormat="1" applyFont="1" applyBorder="1" applyProtection="1"/>
    <xf numFmtId="0" fontId="41" fillId="0" borderId="0" xfId="0" applyFont="1" applyAlignment="1">
      <alignment horizontal="center"/>
    </xf>
    <xf numFmtId="0" fontId="20" fillId="0" borderId="0" xfId="0" applyFont="1" applyAlignment="1">
      <alignment horizontal="right"/>
    </xf>
    <xf numFmtId="0" fontId="41" fillId="0" borderId="0" xfId="0" applyFont="1" applyAlignment="1">
      <alignment horizontal="right"/>
    </xf>
    <xf numFmtId="0" fontId="35" fillId="7" borderId="0" xfId="0" applyFont="1" applyFill="1" applyAlignment="1">
      <alignment horizontal="center" vertical="center"/>
    </xf>
    <xf numFmtId="3" fontId="20" fillId="0" borderId="0" xfId="276" applyNumberFormat="1" applyFont="1" applyBorder="1" applyAlignment="1" applyProtection="1">
      <alignment horizontal="right"/>
    </xf>
    <xf numFmtId="3" fontId="20" fillId="0" borderId="0" xfId="276" applyNumberFormat="1" applyFont="1" applyBorder="1" applyProtection="1"/>
    <xf numFmtId="186" fontId="20" fillId="0" borderId="0" xfId="1" applyNumberFormat="1" applyFont="1" applyBorder="1" applyAlignment="1" applyProtection="1">
      <alignment horizontal="right"/>
    </xf>
    <xf numFmtId="186" fontId="20" fillId="0" borderId="0" xfId="1" applyNumberFormat="1" applyFont="1" applyBorder="1" applyProtection="1"/>
    <xf numFmtId="187" fontId="41" fillId="0" borderId="0" xfId="172" applyNumberFormat="1" applyFont="1" applyAlignment="1">
      <alignment horizontal="right"/>
    </xf>
    <xf numFmtId="187" fontId="41" fillId="5" borderId="0" xfId="172" applyNumberFormat="1" applyFont="1" applyFill="1"/>
    <xf numFmtId="0" fontId="42" fillId="7" borderId="0" xfId="0" applyFont="1" applyFill="1"/>
    <xf numFmtId="186" fontId="42" fillId="7" borderId="0" xfId="1" applyNumberFormat="1" applyFont="1" applyFill="1" applyBorder="1" applyAlignment="1" applyProtection="1">
      <alignment horizontal="right"/>
    </xf>
    <xf numFmtId="186" fontId="42" fillId="7" borderId="0" xfId="1" applyNumberFormat="1" applyFont="1" applyFill="1" applyBorder="1" applyProtection="1"/>
    <xf numFmtId="186" fontId="5" fillId="0" borderId="0" xfId="0" applyNumberFormat="1" applyFont="1"/>
    <xf numFmtId="187" fontId="41" fillId="0" borderId="0" xfId="0" applyNumberFormat="1" applyFont="1" applyAlignment="1">
      <alignment horizontal="right"/>
    </xf>
    <xf numFmtId="187" fontId="41" fillId="0" borderId="0" xfId="0" applyNumberFormat="1" applyFont="1"/>
    <xf numFmtId="3" fontId="20" fillId="5" borderId="0" xfId="1" applyNumberFormat="1" applyFont="1" applyFill="1" applyBorder="1" applyProtection="1"/>
    <xf numFmtId="0" fontId="42" fillId="0" borderId="0" xfId="0" applyFont="1"/>
    <xf numFmtId="186" fontId="42" fillId="0" borderId="0" xfId="1" applyNumberFormat="1" applyFont="1" applyBorder="1" applyAlignment="1" applyProtection="1">
      <alignment horizontal="right"/>
    </xf>
    <xf numFmtId="186" fontId="42" fillId="0" borderId="0" xfId="1" applyNumberFormat="1" applyFont="1" applyBorder="1" applyProtection="1"/>
    <xf numFmtId="186" fontId="20" fillId="0" borderId="0" xfId="0" applyNumberFormat="1" applyFont="1"/>
    <xf numFmtId="0" fontId="43" fillId="7" borderId="0" xfId="0" applyFont="1" applyFill="1"/>
    <xf numFmtId="186" fontId="43" fillId="7" borderId="0" xfId="1" applyNumberFormat="1" applyFont="1" applyFill="1" applyBorder="1" applyAlignment="1" applyProtection="1">
      <alignment horizontal="right"/>
    </xf>
    <xf numFmtId="186" fontId="43" fillId="7" borderId="0" xfId="1" applyNumberFormat="1" applyFont="1" applyFill="1" applyBorder="1" applyProtection="1"/>
    <xf numFmtId="181" fontId="39" fillId="0" borderId="0" xfId="1" applyNumberFormat="1" applyFont="1" applyBorder="1" applyAlignment="1" applyProtection="1">
      <alignment horizontal="right"/>
    </xf>
    <xf numFmtId="181" fontId="39" fillId="0" borderId="0" xfId="1" applyNumberFormat="1" applyFont="1" applyBorder="1" applyProtection="1"/>
    <xf numFmtId="0" fontId="14" fillId="0" borderId="0" xfId="3" applyBorder="1" applyProtection="1"/>
    <xf numFmtId="0" fontId="27" fillId="7" borderId="0" xfId="0" applyFont="1" applyFill="1" applyAlignment="1">
      <alignment vertical="center"/>
    </xf>
    <xf numFmtId="0" fontId="10" fillId="0" borderId="0" xfId="0" applyFont="1" applyAlignment="1">
      <alignment vertical="center"/>
    </xf>
    <xf numFmtId="0" fontId="27" fillId="7" borderId="1" xfId="0" applyFont="1" applyFill="1" applyBorder="1" applyAlignment="1">
      <alignment vertical="center"/>
    </xf>
    <xf numFmtId="0" fontId="27" fillId="7" borderId="2" xfId="0" applyFont="1" applyFill="1" applyBorder="1" applyAlignment="1">
      <alignment vertical="center"/>
    </xf>
    <xf numFmtId="0" fontId="27" fillId="7" borderId="13" xfId="0" applyFont="1" applyFill="1" applyBorder="1" applyAlignment="1">
      <alignment vertical="center"/>
    </xf>
    <xf numFmtId="0" fontId="20" fillId="0" borderId="4" xfId="0" applyFont="1" applyBorder="1"/>
    <xf numFmtId="0" fontId="20" fillId="0" borderId="14" xfId="0" applyFont="1" applyBorder="1"/>
    <xf numFmtId="0" fontId="2" fillId="5" borderId="0" xfId="0" applyFont="1" applyFill="1" applyAlignment="1">
      <alignment vertical="center"/>
    </xf>
    <xf numFmtId="0" fontId="2" fillId="5" borderId="14" xfId="0" applyFont="1" applyFill="1" applyBorder="1" applyAlignment="1">
      <alignment vertical="center"/>
    </xf>
    <xf numFmtId="0" fontId="12" fillId="5" borderId="14" xfId="0" applyFont="1" applyFill="1" applyBorder="1"/>
    <xf numFmtId="0" fontId="44" fillId="0" borderId="0" xfId="0" applyFont="1"/>
    <xf numFmtId="0" fontId="20" fillId="0" borderId="7" xfId="0" applyFont="1" applyBorder="1"/>
    <xf numFmtId="0" fontId="20" fillId="0" borderId="15" xfId="0" applyFont="1" applyBorder="1"/>
    <xf numFmtId="0" fontId="39" fillId="0" borderId="0" xfId="0" applyFont="1"/>
    <xf numFmtId="0" fontId="2" fillId="0" borderId="0" xfId="0" applyFont="1"/>
    <xf numFmtId="0" fontId="48" fillId="0" borderId="0" xfId="0" applyFont="1"/>
    <xf numFmtId="0" fontId="49" fillId="0" borderId="4" xfId="153" applyFont="1" applyBorder="1" applyAlignment="1" applyProtection="1">
      <alignment horizontal="left" vertical="center"/>
    </xf>
    <xf numFmtId="0" fontId="50" fillId="0" borderId="0" xfId="153" applyFont="1" applyBorder="1" applyAlignment="1" applyProtection="1">
      <alignment horizontal="left" vertical="center"/>
    </xf>
    <xf numFmtId="0" fontId="22" fillId="0" borderId="0" xfId="153" applyFont="1" applyBorder="1" applyAlignment="1" applyProtection="1">
      <alignment horizontal="left" vertical="center"/>
    </xf>
    <xf numFmtId="0" fontId="22" fillId="0" borderId="14" xfId="153" applyFont="1" applyBorder="1" applyAlignment="1" applyProtection="1">
      <alignment horizontal="left" vertical="center"/>
    </xf>
    <xf numFmtId="0" fontId="22" fillId="0" borderId="0" xfId="153" applyFont="1" applyBorder="1" applyAlignment="1" applyProtection="1">
      <alignment horizontal="justify" wrapText="1"/>
    </xf>
    <xf numFmtId="0" fontId="22" fillId="0" borderId="14" xfId="153" applyFont="1" applyBorder="1" applyAlignment="1" applyProtection="1">
      <alignment horizontal="justify" wrapText="1"/>
    </xf>
    <xf numFmtId="0" fontId="49" fillId="0" borderId="0" xfId="0" applyFont="1" applyAlignment="1">
      <alignment vertical="center"/>
    </xf>
    <xf numFmtId="0" fontId="22" fillId="0" borderId="14" xfId="0" applyFont="1" applyBorder="1" applyAlignment="1">
      <alignment horizontal="left" vertical="top" wrapText="1"/>
    </xf>
    <xf numFmtId="0" fontId="51" fillId="0" borderId="0" xfId="0" applyFont="1" applyAlignment="1">
      <alignment vertical="center"/>
    </xf>
    <xf numFmtId="0" fontId="22" fillId="0" borderId="4" xfId="0" applyFont="1" applyBorder="1" applyAlignment="1">
      <alignment horizontal="justify" wrapText="1"/>
    </xf>
    <xf numFmtId="0" fontId="22" fillId="0" borderId="0" xfId="0" applyFont="1" applyAlignment="1">
      <alignment horizontal="justify" wrapText="1"/>
    </xf>
    <xf numFmtId="0" fontId="22" fillId="0" borderId="14" xfId="0" applyFont="1" applyBorder="1" applyAlignment="1">
      <alignment horizontal="justify" wrapText="1"/>
    </xf>
    <xf numFmtId="0" fontId="0" fillId="5" borderId="4" xfId="0" applyFill="1" applyBorder="1"/>
    <xf numFmtId="0" fontId="27" fillId="7" borderId="0" xfId="0" applyFont="1" applyFill="1" applyAlignment="1">
      <alignment horizontal="center" vertical="center"/>
    </xf>
    <xf numFmtId="0" fontId="0" fillId="5" borderId="14" xfId="0" applyFill="1" applyBorder="1"/>
    <xf numFmtId="0" fontId="52" fillId="5" borderId="0" xfId="0" applyFont="1" applyFill="1"/>
    <xf numFmtId="0" fontId="19" fillId="5" borderId="7" xfId="0" applyFont="1" applyFill="1" applyBorder="1" applyAlignment="1">
      <alignment horizontal="center"/>
    </xf>
    <xf numFmtId="0" fontId="53" fillId="0" borderId="7" xfId="0" applyFont="1" applyBorder="1" applyAlignment="1">
      <alignment horizontal="center" wrapText="1"/>
    </xf>
    <xf numFmtId="0" fontId="12" fillId="0" borderId="7" xfId="0" applyFont="1" applyBorder="1" applyAlignment="1">
      <alignment horizontal="center" wrapText="1"/>
    </xf>
    <xf numFmtId="0" fontId="5" fillId="0" borderId="14" xfId="0" applyFont="1" applyBorder="1"/>
    <xf numFmtId="0" fontId="5" fillId="5" borderId="4" xfId="0" applyFont="1" applyFill="1" applyBorder="1"/>
    <xf numFmtId="0" fontId="5" fillId="5" borderId="0" xfId="0" applyFont="1" applyFill="1" applyAlignment="1">
      <alignment horizontal="left"/>
    </xf>
    <xf numFmtId="0" fontId="5" fillId="5" borderId="0" xfId="0" applyFont="1" applyFill="1" applyAlignment="1">
      <alignment horizontal="center"/>
    </xf>
    <xf numFmtId="3" fontId="5" fillId="5" borderId="0" xfId="0" applyNumberFormat="1" applyFont="1" applyFill="1"/>
    <xf numFmtId="0" fontId="5" fillId="5" borderId="7" xfId="0" applyFont="1" applyFill="1" applyBorder="1"/>
    <xf numFmtId="0" fontId="39" fillId="5" borderId="7" xfId="0" applyFont="1" applyFill="1" applyBorder="1"/>
    <xf numFmtId="0" fontId="5" fillId="5" borderId="7" xfId="0" applyFont="1" applyFill="1" applyBorder="1" applyAlignment="1">
      <alignment horizontal="center"/>
    </xf>
    <xf numFmtId="0" fontId="10" fillId="5" borderId="4" xfId="0" applyFont="1" applyFill="1" applyBorder="1"/>
    <xf numFmtId="0" fontId="29" fillId="5" borderId="0" xfId="0" applyFont="1" applyFill="1"/>
    <xf numFmtId="187" fontId="12" fillId="0" borderId="2" xfId="0" applyNumberFormat="1" applyFont="1" applyBorder="1" applyAlignment="1">
      <alignment horizontal="right"/>
    </xf>
    <xf numFmtId="0" fontId="54" fillId="5" borderId="0" xfId="0" applyFont="1" applyFill="1"/>
    <xf numFmtId="0" fontId="10" fillId="5" borderId="7" xfId="0" applyFont="1" applyFill="1" applyBorder="1" applyAlignment="1">
      <alignment horizontal="center"/>
    </xf>
    <xf numFmtId="0" fontId="26" fillId="5" borderId="0" xfId="0" applyFont="1" applyFill="1" applyAlignment="1">
      <alignment horizontal="right"/>
    </xf>
    <xf numFmtId="0" fontId="26" fillId="5" borderId="0" xfId="0" applyFont="1" applyFill="1" applyAlignment="1">
      <alignment horizontal="center"/>
    </xf>
    <xf numFmtId="0" fontId="55" fillId="0" borderId="0" xfId="0" applyFont="1" applyAlignment="1">
      <alignment horizontal="center"/>
    </xf>
    <xf numFmtId="3" fontId="26" fillId="5" borderId="0" xfId="0" applyNumberFormat="1" applyFont="1" applyFill="1" applyAlignment="1">
      <alignment horizontal="right"/>
    </xf>
    <xf numFmtId="3" fontId="26" fillId="5" borderId="0" xfId="0" applyNumberFormat="1" applyFont="1" applyFill="1" applyAlignment="1">
      <alignment horizontal="center"/>
    </xf>
    <xf numFmtId="0" fontId="5" fillId="5" borderId="4" xfId="0" applyFont="1" applyFill="1" applyBorder="1" applyAlignment="1">
      <alignment horizontal="left"/>
    </xf>
    <xf numFmtId="3" fontId="5" fillId="5" borderId="0" xfId="0" applyNumberFormat="1" applyFont="1" applyFill="1" applyAlignment="1">
      <alignment horizontal="right"/>
    </xf>
    <xf numFmtId="0" fontId="39" fillId="0" borderId="14" xfId="0" applyFont="1" applyBorder="1"/>
    <xf numFmtId="0" fontId="5" fillId="0" borderId="4" xfId="0" applyFont="1" applyBorder="1" applyAlignment="1">
      <alignment horizontal="left" wrapText="1"/>
    </xf>
    <xf numFmtId="0" fontId="5" fillId="5" borderId="14" xfId="0" applyFont="1" applyFill="1" applyBorder="1"/>
    <xf numFmtId="0" fontId="26" fillId="5" borderId="0" xfId="0" applyFont="1" applyFill="1"/>
    <xf numFmtId="0" fontId="52" fillId="5" borderId="0" xfId="0" applyFont="1" applyFill="1" applyAlignment="1">
      <alignment wrapText="1"/>
    </xf>
    <xf numFmtId="0" fontId="27" fillId="0" borderId="0" xfId="0" applyFont="1" applyAlignment="1">
      <alignment vertical="center"/>
    </xf>
    <xf numFmtId="0" fontId="22" fillId="0" borderId="14" xfId="0" applyFont="1" applyBorder="1" applyAlignment="1">
      <alignment horizontal="justify" vertical="top" wrapText="1"/>
    </xf>
    <xf numFmtId="0" fontId="49" fillId="0" borderId="0" xfId="0" applyFont="1" applyAlignment="1">
      <alignment horizontal="left" wrapText="1"/>
    </xf>
    <xf numFmtId="0" fontId="49" fillId="0" borderId="14" xfId="0" applyFont="1" applyBorder="1" applyAlignment="1">
      <alignment horizontal="left" wrapText="1"/>
    </xf>
    <xf numFmtId="0" fontId="22" fillId="5" borderId="14" xfId="0" applyFont="1" applyFill="1" applyBorder="1" applyAlignment="1">
      <alignment horizontal="left" vertical="top" wrapText="1"/>
    </xf>
    <xf numFmtId="0" fontId="57" fillId="0" borderId="0" xfId="0" applyFont="1"/>
    <xf numFmtId="0" fontId="49" fillId="0" borderId="4" xfId="0" applyFont="1" applyBorder="1" applyAlignment="1">
      <alignment horizontal="justify" wrapText="1"/>
    </xf>
    <xf numFmtId="0" fontId="48" fillId="0" borderId="0" xfId="0" applyFont="1" applyAlignment="1">
      <alignment horizontal="justify" wrapText="1"/>
    </xf>
    <xf numFmtId="0" fontId="48" fillId="0" borderId="14" xfId="0" applyFont="1" applyBorder="1" applyAlignment="1">
      <alignment horizontal="justify" wrapText="1"/>
    </xf>
    <xf numFmtId="0" fontId="48" fillId="0" borderId="0" xfId="0" applyFont="1" applyAlignment="1">
      <alignment horizontal="left" wrapText="1"/>
    </xf>
    <xf numFmtId="0" fontId="58" fillId="0" borderId="0" xfId="0" applyFont="1"/>
    <xf numFmtId="0" fontId="46" fillId="0" borderId="0" xfId="0" applyFont="1"/>
    <xf numFmtId="0" fontId="48" fillId="5" borderId="0" xfId="0" applyFont="1" applyFill="1"/>
    <xf numFmtId="0" fontId="22" fillId="5" borderId="0" xfId="0" applyFont="1" applyFill="1"/>
    <xf numFmtId="0" fontId="27" fillId="7" borderId="0" xfId="0" applyFont="1" applyFill="1"/>
    <xf numFmtId="0" fontId="60" fillId="5" borderId="0" xfId="0" applyFont="1" applyFill="1"/>
    <xf numFmtId="0" fontId="12" fillId="5" borderId="7" xfId="155" applyFont="1" applyFill="1" applyBorder="1" applyAlignment="1" applyProtection="1">
      <alignment horizontal="left"/>
    </xf>
    <xf numFmtId="0" fontId="47" fillId="5" borderId="7" xfId="155" applyFont="1" applyFill="1" applyBorder="1" applyAlignment="1" applyProtection="1">
      <alignment horizontal="center"/>
    </xf>
    <xf numFmtId="0" fontId="2" fillId="5" borderId="0" xfId="161" applyFill="1"/>
    <xf numFmtId="0" fontId="47" fillId="5" borderId="0" xfId="155" applyFont="1" applyFill="1" applyBorder="1" applyAlignment="1" applyProtection="1">
      <alignment horizontal="center"/>
    </xf>
    <xf numFmtId="3" fontId="2" fillId="5" borderId="0" xfId="161" applyNumberFormat="1" applyFill="1"/>
    <xf numFmtId="0" fontId="2" fillId="0" borderId="0" xfId="161"/>
    <xf numFmtId="3" fontId="2" fillId="0" borderId="0" xfId="161" applyNumberFormat="1"/>
    <xf numFmtId="0" fontId="12" fillId="5" borderId="0" xfId="161" applyFont="1" applyFill="1"/>
    <xf numFmtId="184" fontId="12" fillId="5" borderId="12" xfId="30" applyNumberFormat="1" applyFont="1" applyFill="1" applyBorder="1" applyProtection="1"/>
    <xf numFmtId="0" fontId="36" fillId="5" borderId="0" xfId="0" applyFont="1" applyFill="1"/>
    <xf numFmtId="0" fontId="14" fillId="5" borderId="0" xfId="3" applyFill="1" applyBorder="1" applyProtection="1"/>
    <xf numFmtId="0" fontId="61" fillId="5" borderId="0" xfId="0" applyFont="1" applyFill="1" applyAlignment="1">
      <alignment horizontal="center"/>
    </xf>
    <xf numFmtId="3" fontId="0" fillId="5" borderId="0" xfId="0" applyNumberFormat="1" applyFill="1"/>
    <xf numFmtId="184" fontId="12" fillId="0" borderId="12" xfId="30" applyNumberFormat="1" applyFont="1" applyBorder="1" applyProtection="1"/>
    <xf numFmtId="0" fontId="10" fillId="5" borderId="0" xfId="0" applyFont="1" applyFill="1"/>
    <xf numFmtId="0" fontId="2" fillId="5" borderId="0" xfId="0" applyFont="1" applyFill="1"/>
    <xf numFmtId="0" fontId="5" fillId="0" borderId="0" xfId="0" applyFont="1" applyAlignment="1">
      <alignment horizontal="center" vertical="center"/>
    </xf>
    <xf numFmtId="0" fontId="39" fillId="5" borderId="0" xfId="0" applyFont="1" applyFill="1"/>
    <xf numFmtId="0" fontId="27" fillId="7" borderId="9" xfId="0" applyFont="1" applyFill="1" applyBorder="1" applyAlignment="1">
      <alignment horizontal="center" vertical="center"/>
    </xf>
    <xf numFmtId="0" fontId="10" fillId="5" borderId="16" xfId="0" applyFont="1" applyFill="1" applyBorder="1" applyAlignment="1">
      <alignment vertical="center"/>
    </xf>
    <xf numFmtId="0" fontId="10" fillId="5" borderId="10" xfId="0" applyFont="1" applyFill="1" applyBorder="1" applyAlignment="1">
      <alignment horizontal="center" vertical="center"/>
    </xf>
    <xf numFmtId="0" fontId="10" fillId="5" borderId="0" xfId="0" applyFont="1" applyFill="1" applyAlignment="1">
      <alignment vertical="center"/>
    </xf>
    <xf numFmtId="0" fontId="5" fillId="5" borderId="9" xfId="0" applyFont="1" applyFill="1" applyBorder="1"/>
    <xf numFmtId="3" fontId="5" fillId="0" borderId="9" xfId="0" applyNumberFormat="1" applyFont="1" applyBorder="1"/>
    <xf numFmtId="0" fontId="10" fillId="5" borderId="1" xfId="0" applyFont="1" applyFill="1" applyBorder="1" applyAlignment="1">
      <alignment vertical="center"/>
    </xf>
    <xf numFmtId="0" fontId="10" fillId="5" borderId="9" xfId="0" applyFont="1" applyFill="1" applyBorder="1" applyAlignment="1">
      <alignment horizontal="center" vertical="center" wrapText="1"/>
    </xf>
    <xf numFmtId="0" fontId="10" fillId="0" borderId="16" xfId="0" applyFont="1" applyBorder="1"/>
    <xf numFmtId="188" fontId="10" fillId="0" borderId="9" xfId="1" applyNumberFormat="1" applyFont="1" applyBorder="1" applyProtection="1"/>
    <xf numFmtId="1" fontId="19" fillId="0" borderId="10" xfId="2" applyNumberFormat="1" applyFont="1" applyBorder="1" applyAlignment="1" applyProtection="1">
      <alignment horizontal="center"/>
    </xf>
    <xf numFmtId="0" fontId="10" fillId="0" borderId="3" xfId="0" applyFont="1" applyBorder="1"/>
    <xf numFmtId="189" fontId="19" fillId="0" borderId="10" xfId="2" applyNumberFormat="1" applyFont="1" applyBorder="1" applyAlignment="1" applyProtection="1">
      <alignment horizontal="center"/>
    </xf>
    <xf numFmtId="0" fontId="56" fillId="5" borderId="16" xfId="0" applyFont="1" applyFill="1" applyBorder="1" applyAlignment="1">
      <alignment horizontal="left"/>
    </xf>
    <xf numFmtId="184" fontId="2" fillId="0" borderId="9" xfId="277" applyNumberFormat="1" applyBorder="1" applyProtection="1"/>
    <xf numFmtId="3" fontId="5" fillId="5" borderId="10" xfId="2" applyNumberFormat="1" applyFont="1" applyFill="1" applyBorder="1" applyAlignment="1" applyProtection="1">
      <alignment horizontal="center"/>
    </xf>
    <xf numFmtId="186" fontId="2" fillId="0" borderId="9" xfId="1" applyNumberFormat="1" applyFont="1" applyBorder="1" applyProtection="1"/>
    <xf numFmtId="188" fontId="5" fillId="5" borderId="9" xfId="1" applyNumberFormat="1" applyFont="1" applyFill="1" applyBorder="1" applyProtection="1"/>
    <xf numFmtId="189" fontId="100" fillId="0" borderId="10" xfId="2" applyNumberFormat="1" applyBorder="1" applyAlignment="1" applyProtection="1">
      <alignment horizontal="center"/>
    </xf>
    <xf numFmtId="189" fontId="5" fillId="5" borderId="10" xfId="2" applyNumberFormat="1" applyFont="1" applyFill="1" applyBorder="1" applyAlignment="1" applyProtection="1">
      <alignment horizontal="center"/>
    </xf>
    <xf numFmtId="0" fontId="5" fillId="5" borderId="16" xfId="0" applyFont="1" applyFill="1" applyBorder="1"/>
    <xf numFmtId="188" fontId="5" fillId="5" borderId="11" xfId="1" applyNumberFormat="1" applyFont="1" applyFill="1" applyBorder="1" applyProtection="1"/>
    <xf numFmtId="188" fontId="5" fillId="5" borderId="10" xfId="1" applyNumberFormat="1" applyFont="1" applyFill="1" applyBorder="1" applyProtection="1"/>
    <xf numFmtId="0" fontId="10" fillId="5" borderId="9" xfId="0" applyFont="1" applyFill="1" applyBorder="1" applyAlignment="1">
      <alignment wrapText="1"/>
    </xf>
    <xf numFmtId="184" fontId="10" fillId="5" borderId="9" xfId="1" applyNumberFormat="1" applyFont="1" applyFill="1" applyBorder="1" applyProtection="1"/>
    <xf numFmtId="188" fontId="5" fillId="5" borderId="15" xfId="1" applyNumberFormat="1" applyFont="1" applyFill="1" applyBorder="1" applyProtection="1"/>
    <xf numFmtId="0" fontId="10" fillId="5" borderId="9" xfId="0" applyFont="1" applyFill="1" applyBorder="1"/>
    <xf numFmtId="3" fontId="10" fillId="5" borderId="9" xfId="0" applyNumberFormat="1" applyFont="1" applyFill="1" applyBorder="1"/>
    <xf numFmtId="0" fontId="12" fillId="5" borderId="9" xfId="0" applyFont="1" applyFill="1" applyBorder="1"/>
    <xf numFmtId="186" fontId="12" fillId="5" borderId="9" xfId="1" applyNumberFormat="1" applyFont="1" applyFill="1" applyBorder="1" applyProtection="1"/>
    <xf numFmtId="178" fontId="5" fillId="5" borderId="15" xfId="2" applyFont="1" applyFill="1" applyBorder="1" applyProtection="1"/>
    <xf numFmtId="0" fontId="5" fillId="5" borderId="11" xfId="0" applyFont="1" applyFill="1" applyBorder="1"/>
    <xf numFmtId="0" fontId="5" fillId="5" borderId="10" xfId="0" applyFont="1" applyFill="1" applyBorder="1"/>
    <xf numFmtId="0" fontId="12" fillId="5" borderId="9" xfId="0" applyFont="1" applyFill="1" applyBorder="1" applyAlignment="1">
      <alignment wrapText="1"/>
    </xf>
    <xf numFmtId="184" fontId="10" fillId="5" borderId="16" xfId="1" applyNumberFormat="1" applyFont="1" applyFill="1" applyBorder="1" applyAlignment="1" applyProtection="1">
      <alignment vertical="center"/>
    </xf>
    <xf numFmtId="0" fontId="5" fillId="5" borderId="2" xfId="0" applyFont="1" applyFill="1" applyBorder="1"/>
    <xf numFmtId="0" fontId="56" fillId="5" borderId="9" xfId="0" applyFont="1" applyFill="1" applyBorder="1"/>
    <xf numFmtId="0" fontId="10" fillId="5" borderId="9" xfId="0" applyFont="1" applyFill="1" applyBorder="1" applyAlignment="1">
      <alignment horizontal="center"/>
    </xf>
    <xf numFmtId="0" fontId="5" fillId="5" borderId="9" xfId="0" applyFont="1" applyFill="1" applyBorder="1" applyAlignment="1">
      <alignment horizontal="center"/>
    </xf>
    <xf numFmtId="3" fontId="5" fillId="5" borderId="9" xfId="0" applyNumberFormat="1" applyFont="1" applyFill="1" applyBorder="1" applyAlignment="1">
      <alignment horizontal="center"/>
    </xf>
    <xf numFmtId="3" fontId="5" fillId="0" borderId="5" xfId="0" applyNumberFormat="1" applyFont="1" applyBorder="1" applyAlignment="1">
      <alignment horizontal="right" vertical="top" shrinkToFit="1"/>
    </xf>
    <xf numFmtId="186" fontId="2" fillId="0" borderId="3" xfId="1" applyNumberFormat="1" applyFont="1" applyBorder="1" applyProtection="1"/>
    <xf numFmtId="3" fontId="10" fillId="0" borderId="9" xfId="0" applyNumberFormat="1" applyFont="1" applyBorder="1"/>
    <xf numFmtId="0" fontId="36" fillId="0" borderId="0" xfId="0" applyFont="1" applyAlignment="1">
      <alignment vertical="center"/>
    </xf>
    <xf numFmtId="0" fontId="61" fillId="5" borderId="0" xfId="0" applyFont="1" applyFill="1"/>
    <xf numFmtId="181" fontId="5" fillId="5" borderId="0" xfId="0" applyNumberFormat="1" applyFont="1" applyFill="1"/>
    <xf numFmtId="0" fontId="12" fillId="5" borderId="7" xfId="146" applyFont="1" applyFill="1" applyBorder="1" applyAlignment="1">
      <alignment horizontal="left"/>
    </xf>
    <xf numFmtId="0" fontId="27" fillId="7" borderId="7" xfId="146" applyFont="1" applyFill="1" applyBorder="1" applyAlignment="1">
      <alignment horizontal="center"/>
    </xf>
    <xf numFmtId="186" fontId="2" fillId="0" borderId="0" xfId="12" applyNumberFormat="1" applyFont="1" applyBorder="1" applyAlignment="1" applyProtection="1">
      <alignment horizontal="right"/>
    </xf>
    <xf numFmtId="186" fontId="12" fillId="5" borderId="12" xfId="1" applyNumberFormat="1" applyFont="1" applyFill="1" applyBorder="1" applyProtection="1"/>
    <xf numFmtId="186" fontId="2" fillId="0" borderId="0" xfId="1" applyNumberFormat="1" applyFont="1" applyBorder="1" applyAlignment="1" applyProtection="1">
      <alignment horizontal="right"/>
    </xf>
    <xf numFmtId="0" fontId="27" fillId="7" borderId="0" xfId="0" applyFont="1" applyFill="1" applyAlignment="1">
      <alignment horizontal="left" vertical="center"/>
    </xf>
    <xf numFmtId="0" fontId="2" fillId="5" borderId="0" xfId="146" applyFill="1" applyAlignment="1">
      <alignment horizontal="left"/>
    </xf>
    <xf numFmtId="186" fontId="2" fillId="0" borderId="0" xfId="1" applyNumberFormat="1" applyFont="1" applyBorder="1" applyProtection="1"/>
    <xf numFmtId="181" fontId="2" fillId="0" borderId="0" xfId="44" applyNumberFormat="1" applyFont="1" applyBorder="1" applyProtection="1"/>
    <xf numFmtId="0" fontId="2" fillId="5" borderId="0" xfId="146" applyFill="1"/>
    <xf numFmtId="181" fontId="12" fillId="0" borderId="12" xfId="44" applyNumberFormat="1" applyFont="1" applyBorder="1" applyProtection="1"/>
    <xf numFmtId="0" fontId="27" fillId="5" borderId="0" xfId="0" applyFont="1" applyFill="1" applyAlignment="1">
      <alignment horizontal="left" vertical="center"/>
    </xf>
    <xf numFmtId="0" fontId="62" fillId="5" borderId="0" xfId="0" applyFont="1" applyFill="1"/>
    <xf numFmtId="0" fontId="62" fillId="0" borderId="0" xfId="0" applyFont="1"/>
    <xf numFmtId="0" fontId="63" fillId="7" borderId="0" xfId="0" applyFont="1" applyFill="1" applyAlignment="1">
      <alignment horizontal="center" vertical="center"/>
    </xf>
    <xf numFmtId="0" fontId="63" fillId="7" borderId="0" xfId="0" applyFont="1" applyFill="1" applyAlignment="1">
      <alignment horizontal="center"/>
    </xf>
    <xf numFmtId="3" fontId="0" fillId="0" borderId="0" xfId="0" applyNumberFormat="1" applyAlignment="1">
      <alignment horizontal="center"/>
    </xf>
    <xf numFmtId="0" fontId="62" fillId="5" borderId="0" xfId="0" applyFont="1" applyFill="1" applyAlignment="1">
      <alignment horizontal="center"/>
    </xf>
    <xf numFmtId="0" fontId="27" fillId="7" borderId="7" xfId="146" applyFont="1" applyFill="1" applyBorder="1" applyAlignment="1">
      <alignment horizontal="right"/>
    </xf>
    <xf numFmtId="0" fontId="63" fillId="7" borderId="0" xfId="0" applyFont="1" applyFill="1" applyAlignment="1">
      <alignment vertical="center"/>
    </xf>
    <xf numFmtId="0" fontId="0" fillId="5" borderId="3" xfId="0" applyFill="1"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5" borderId="9" xfId="0" applyFill="1" applyBorder="1" applyAlignment="1">
      <alignment vertical="center" wrapText="1"/>
    </xf>
    <xf numFmtId="0" fontId="64" fillId="5" borderId="9" xfId="0" applyFont="1" applyFill="1" applyBorder="1" applyAlignment="1">
      <alignment horizontal="left" wrapText="1"/>
    </xf>
    <xf numFmtId="0" fontId="61" fillId="0" borderId="9" xfId="0" applyFont="1" applyBorder="1" applyAlignment="1">
      <alignment horizontal="center" wrapText="1"/>
    </xf>
    <xf numFmtId="3" fontId="64" fillId="0" borderId="9" xfId="0" applyNumberFormat="1" applyFont="1" applyBorder="1" applyAlignment="1">
      <alignment horizontal="center"/>
    </xf>
    <xf numFmtId="3" fontId="64" fillId="5" borderId="9" xfId="0" applyNumberFormat="1" applyFont="1" applyFill="1" applyBorder="1" applyAlignment="1">
      <alignment horizontal="right"/>
    </xf>
    <xf numFmtId="187" fontId="64" fillId="0" borderId="9" xfId="0" applyNumberFormat="1" applyFont="1" applyBorder="1" applyAlignment="1">
      <alignment horizontal="right"/>
    </xf>
    <xf numFmtId="189" fontId="100" fillId="0" borderId="9" xfId="2" applyNumberFormat="1" applyBorder="1" applyProtection="1"/>
    <xf numFmtId="3" fontId="61" fillId="0" borderId="9" xfId="0" applyNumberFormat="1" applyFont="1" applyBorder="1" applyAlignment="1">
      <alignment horizontal="center" wrapText="1"/>
    </xf>
    <xf numFmtId="189" fontId="64" fillId="5" borderId="9" xfId="0" applyNumberFormat="1" applyFont="1" applyFill="1" applyBorder="1" applyAlignment="1">
      <alignment horizontal="center"/>
    </xf>
    <xf numFmtId="3" fontId="65" fillId="0" borderId="9" xfId="0" applyNumberFormat="1" applyFont="1" applyBorder="1" applyAlignment="1">
      <alignment horizontal="center" wrapText="1"/>
    </xf>
    <xf numFmtId="186" fontId="65" fillId="5" borderId="3" xfId="1" applyNumberFormat="1" applyFont="1" applyFill="1" applyBorder="1" applyAlignment="1" applyProtection="1">
      <alignment horizontal="center"/>
    </xf>
    <xf numFmtId="0" fontId="0" fillId="5" borderId="9" xfId="0" applyFill="1" applyBorder="1"/>
    <xf numFmtId="0" fontId="0" fillId="0" borderId="9" xfId="0" applyBorder="1"/>
    <xf numFmtId="0" fontId="66" fillId="0" borderId="9" xfId="0" applyFont="1" applyBorder="1" applyAlignment="1">
      <alignment horizontal="center" vertical="center" wrapText="1"/>
    </xf>
    <xf numFmtId="0" fontId="67" fillId="0" borderId="9" xfId="0" applyFont="1" applyBorder="1" applyAlignment="1">
      <alignment horizontal="center" vertical="center" wrapText="1"/>
    </xf>
    <xf numFmtId="0" fontId="68" fillId="5" borderId="0" xfId="0" applyFont="1" applyFill="1"/>
    <xf numFmtId="0" fontId="19" fillId="5" borderId="0" xfId="0" applyFont="1" applyFill="1"/>
    <xf numFmtId="0" fontId="46" fillId="0" borderId="0" xfId="124" applyFont="1"/>
    <xf numFmtId="0" fontId="46" fillId="5" borderId="0" xfId="124" applyFont="1" applyFill="1"/>
    <xf numFmtId="0" fontId="48" fillId="5" borderId="0" xfId="124" applyFont="1" applyFill="1"/>
    <xf numFmtId="0" fontId="51" fillId="0" borderId="17" xfId="124" applyFont="1" applyBorder="1" applyAlignment="1">
      <alignment vertical="center"/>
    </xf>
    <xf numFmtId="0" fontId="51" fillId="5" borderId="17" xfId="124" applyFont="1" applyFill="1" applyBorder="1" applyAlignment="1">
      <alignment vertical="center"/>
    </xf>
    <xf numFmtId="0" fontId="51" fillId="7" borderId="18" xfId="124" applyFont="1" applyFill="1" applyBorder="1" applyAlignment="1">
      <alignment horizontal="center" vertical="center" wrapText="1"/>
    </xf>
    <xf numFmtId="0" fontId="51" fillId="7" borderId="20" xfId="124" applyFont="1" applyFill="1" applyBorder="1" applyAlignment="1">
      <alignment vertical="center" wrapText="1"/>
    </xf>
    <xf numFmtId="0" fontId="27" fillId="7" borderId="21" xfId="146" applyFont="1" applyFill="1" applyBorder="1" applyAlignment="1">
      <alignment horizontal="center"/>
    </xf>
    <xf numFmtId="0" fontId="27" fillId="7" borderId="19" xfId="146" applyFont="1" applyFill="1" applyBorder="1" applyAlignment="1">
      <alignment horizontal="center"/>
    </xf>
    <xf numFmtId="190" fontId="3" fillId="0" borderId="5" xfId="0" applyNumberFormat="1" applyFont="1" applyBorder="1" applyAlignment="1">
      <alignment wrapText="1"/>
    </xf>
    <xf numFmtId="186" fontId="46" fillId="0" borderId="14" xfId="49" applyNumberFormat="1" applyFont="1" applyBorder="1" applyProtection="1"/>
    <xf numFmtId="186" fontId="46" fillId="0" borderId="5" xfId="49" applyNumberFormat="1" applyFont="1" applyBorder="1" applyProtection="1"/>
    <xf numFmtId="174" fontId="22" fillId="0" borderId="5" xfId="276" applyFont="1" applyBorder="1" applyAlignment="1" applyProtection="1">
      <alignment horizontal="center"/>
    </xf>
    <xf numFmtId="0" fontId="30" fillId="10" borderId="9" xfId="124" applyFont="1" applyFill="1" applyBorder="1"/>
    <xf numFmtId="186" fontId="30" fillId="10" borderId="9" xfId="49" applyNumberFormat="1" applyFont="1" applyFill="1" applyBorder="1" applyProtection="1"/>
    <xf numFmtId="0" fontId="10" fillId="0" borderId="0" xfId="0" applyFont="1" applyAlignment="1">
      <alignment horizontal="left"/>
    </xf>
    <xf numFmtId="0" fontId="5" fillId="0" borderId="0" xfId="0" applyFont="1" applyAlignment="1">
      <alignment wrapText="1"/>
    </xf>
    <xf numFmtId="0" fontId="10" fillId="0" borderId="0" xfId="0" applyFont="1" applyAlignment="1">
      <alignment horizontal="left" vertical="top" wrapText="1"/>
    </xf>
    <xf numFmtId="0" fontId="5" fillId="0" borderId="0" xfId="0" applyFont="1" applyAlignment="1">
      <alignment horizontal="right" vertical="top" wrapText="1"/>
    </xf>
    <xf numFmtId="0" fontId="5" fillId="0" borderId="7" xfId="0" applyFont="1" applyBorder="1" applyAlignment="1">
      <alignment horizontal="right" vertical="top" wrapText="1"/>
    </xf>
    <xf numFmtId="0" fontId="10" fillId="0" borderId="0" xfId="0" applyFont="1" applyAlignment="1">
      <alignment vertical="top" wrapText="1"/>
    </xf>
    <xf numFmtId="0" fontId="10" fillId="0" borderId="0" xfId="0" applyFont="1" applyAlignment="1">
      <alignment horizontal="right" vertical="top" wrapText="1"/>
    </xf>
    <xf numFmtId="0" fontId="5" fillId="0" borderId="7" xfId="0" applyFont="1" applyBorder="1" applyAlignment="1">
      <alignment vertical="top" wrapText="1"/>
    </xf>
    <xf numFmtId="0" fontId="5" fillId="0" borderId="7" xfId="0" applyFont="1" applyBorder="1" applyAlignment="1">
      <alignment wrapText="1"/>
    </xf>
    <xf numFmtId="0" fontId="69" fillId="5" borderId="0" xfId="0" applyFont="1" applyFill="1"/>
    <xf numFmtId="0" fontId="10" fillId="5" borderId="0" xfId="0" applyFont="1" applyFill="1" applyAlignment="1">
      <alignment wrapText="1"/>
    </xf>
    <xf numFmtId="0" fontId="5" fillId="5" borderId="0" xfId="0" applyFont="1" applyFill="1" applyAlignment="1">
      <alignment wrapText="1"/>
    </xf>
    <xf numFmtId="0" fontId="5" fillId="5" borderId="0" xfId="0" applyFont="1" applyFill="1" applyAlignment="1">
      <alignment vertical="top" wrapText="1"/>
    </xf>
    <xf numFmtId="186" fontId="2" fillId="5" borderId="0" xfId="1" applyNumberFormat="1" applyFont="1" applyFill="1" applyBorder="1" applyProtection="1"/>
    <xf numFmtId="3" fontId="19" fillId="5" borderId="2" xfId="275" applyNumberFormat="1" applyFont="1" applyFill="1" applyBorder="1" applyProtection="1"/>
    <xf numFmtId="0" fontId="70" fillId="5" borderId="0" xfId="0" applyFont="1" applyFill="1"/>
    <xf numFmtId="0" fontId="71" fillId="5" borderId="0" xfId="0" applyFont="1" applyFill="1"/>
    <xf numFmtId="0" fontId="10" fillId="5" borderId="0" xfId="0" applyFont="1" applyFill="1" applyAlignment="1">
      <alignment horizontal="center" vertical="center" wrapText="1"/>
    </xf>
    <xf numFmtId="0" fontId="10" fillId="5" borderId="0" xfId="0" applyFont="1" applyFill="1" applyAlignment="1">
      <alignment vertical="top" wrapText="1"/>
    </xf>
    <xf numFmtId="0" fontId="0" fillId="5" borderId="7" xfId="0" applyFill="1" applyBorder="1" applyAlignment="1">
      <alignment horizontal="right"/>
    </xf>
    <xf numFmtId="0" fontId="19" fillId="5" borderId="0" xfId="0" applyFont="1" applyFill="1" applyAlignment="1">
      <alignment horizontal="right"/>
    </xf>
    <xf numFmtId="0" fontId="70" fillId="0" borderId="0" xfId="0" applyFont="1"/>
    <xf numFmtId="0" fontId="14" fillId="0" borderId="0" xfId="3" applyBorder="1" applyAlignment="1" applyProtection="1">
      <alignment horizontal="right"/>
    </xf>
    <xf numFmtId="0" fontId="72" fillId="5" borderId="0" xfId="0" applyFont="1" applyFill="1"/>
    <xf numFmtId="0" fontId="63" fillId="7" borderId="7" xfId="0" applyFont="1" applyFill="1" applyBorder="1" applyAlignment="1">
      <alignment horizontal="center" vertical="center"/>
    </xf>
    <xf numFmtId="0" fontId="0" fillId="0" borderId="0" xfId="0" applyAlignment="1">
      <alignment horizontal="center"/>
    </xf>
    <xf numFmtId="0" fontId="2" fillId="5" borderId="0" xfId="146" applyFill="1" applyAlignment="1">
      <alignment horizontal="center"/>
    </xf>
    <xf numFmtId="3" fontId="2" fillId="5" borderId="0" xfId="1" applyNumberFormat="1" applyFont="1" applyFill="1" applyBorder="1" applyProtection="1"/>
    <xf numFmtId="0" fontId="12" fillId="5" borderId="0" xfId="146" applyFont="1" applyFill="1" applyAlignment="1">
      <alignment horizontal="center"/>
    </xf>
    <xf numFmtId="3" fontId="12" fillId="5" borderId="12" xfId="1" applyNumberFormat="1" applyFont="1" applyFill="1" applyBorder="1" applyProtection="1"/>
    <xf numFmtId="3" fontId="12" fillId="5" borderId="11" xfId="1" applyNumberFormat="1" applyFont="1" applyFill="1" applyBorder="1" applyProtection="1"/>
    <xf numFmtId="3" fontId="12" fillId="5" borderId="22" xfId="1" applyNumberFormat="1" applyFont="1" applyFill="1" applyBorder="1" applyProtection="1"/>
    <xf numFmtId="0" fontId="0" fillId="5" borderId="0" xfId="0" applyFill="1" applyAlignment="1">
      <alignment horizontal="right"/>
    </xf>
    <xf numFmtId="0" fontId="0" fillId="5" borderId="0" xfId="0" applyFill="1" applyAlignment="1">
      <alignment horizontal="center"/>
    </xf>
    <xf numFmtId="0" fontId="54" fillId="0" borderId="0" xfId="0" applyFont="1" applyAlignment="1">
      <alignment horizontal="left"/>
    </xf>
    <xf numFmtId="0" fontId="15" fillId="0" borderId="0" xfId="3" applyFont="1" applyBorder="1" applyProtection="1"/>
    <xf numFmtId="0" fontId="54" fillId="0" borderId="0" xfId="0" applyFont="1" applyAlignment="1">
      <alignment horizontal="center"/>
    </xf>
    <xf numFmtId="0" fontId="54" fillId="0" borderId="0" xfId="0" applyFont="1"/>
    <xf numFmtId="0" fontId="42" fillId="7" borderId="0" xfId="0" applyFont="1" applyFill="1" applyAlignment="1">
      <alignment horizontal="right" vertical="center"/>
    </xf>
    <xf numFmtId="0" fontId="42" fillId="5" borderId="0" xfId="0" applyFont="1" applyFill="1" applyAlignment="1">
      <alignment horizontal="center" vertical="center"/>
    </xf>
    <xf numFmtId="0" fontId="42" fillId="5" borderId="0" xfId="0" applyFont="1" applyFill="1" applyAlignment="1">
      <alignment vertical="center"/>
    </xf>
    <xf numFmtId="0" fontId="63" fillId="7" borderId="0" xfId="0" applyFont="1" applyFill="1" applyAlignment="1">
      <alignment horizontal="right"/>
    </xf>
    <xf numFmtId="0" fontId="63" fillId="7" borderId="0" xfId="0" applyFont="1" applyFill="1"/>
    <xf numFmtId="0" fontId="10" fillId="5" borderId="7" xfId="0" applyFont="1" applyFill="1" applyBorder="1" applyAlignment="1">
      <alignment horizontal="left"/>
    </xf>
    <xf numFmtId="0" fontId="19" fillId="0" borderId="7" xfId="0" applyFont="1" applyBorder="1" applyAlignment="1">
      <alignment horizontal="right" vertical="center"/>
    </xf>
    <xf numFmtId="0" fontId="12" fillId="5" borderId="7" xfId="146" applyFont="1" applyFill="1" applyBorder="1" applyAlignment="1">
      <alignment horizontal="center"/>
    </xf>
    <xf numFmtId="0" fontId="19" fillId="0" borderId="7" xfId="0" applyFont="1" applyBorder="1" applyAlignment="1">
      <alignment horizontal="center" vertical="center"/>
    </xf>
    <xf numFmtId="0" fontId="19" fillId="0" borderId="7" xfId="0" applyFont="1" applyBorder="1" applyAlignment="1">
      <alignment horizontal="center"/>
    </xf>
    <xf numFmtId="0" fontId="10" fillId="0" borderId="7" xfId="0" applyFont="1" applyBorder="1" applyAlignment="1">
      <alignment horizontal="center" vertical="center"/>
    </xf>
    <xf numFmtId="0" fontId="56" fillId="5" borderId="0" xfId="0" applyFont="1" applyFill="1"/>
    <xf numFmtId="0" fontId="73" fillId="5" borderId="0" xfId="0" applyFont="1" applyFill="1" applyAlignment="1">
      <alignment horizontal="right"/>
    </xf>
    <xf numFmtId="0" fontId="73" fillId="5" borderId="0" xfId="0" applyFont="1" applyFill="1" applyAlignment="1">
      <alignment horizontal="center" vertical="center"/>
    </xf>
    <xf numFmtId="0" fontId="5" fillId="0" borderId="23" xfId="0" applyFont="1" applyBorder="1" applyAlignment="1">
      <alignment horizontal="left"/>
    </xf>
    <xf numFmtId="179" fontId="5" fillId="5" borderId="0" xfId="0" applyNumberFormat="1" applyFont="1" applyFill="1" applyAlignment="1">
      <alignment horizontal="right"/>
    </xf>
    <xf numFmtId="0" fontId="5" fillId="0" borderId="0" xfId="0" applyFont="1" applyAlignment="1">
      <alignment horizontal="right"/>
    </xf>
    <xf numFmtId="3" fontId="5" fillId="5" borderId="0" xfId="0" applyNumberFormat="1" applyFont="1" applyFill="1" applyAlignment="1">
      <alignment horizontal="right" vertical="center"/>
    </xf>
    <xf numFmtId="179" fontId="5" fillId="5" borderId="0" xfId="0" applyNumberFormat="1" applyFont="1" applyFill="1" applyAlignment="1">
      <alignment horizontal="center"/>
    </xf>
    <xf numFmtId="3" fontId="5" fillId="0" borderId="0" xfId="0" applyNumberFormat="1" applyFont="1" applyAlignment="1">
      <alignment horizontal="center" vertical="center"/>
    </xf>
    <xf numFmtId="3" fontId="5" fillId="0" borderId="0" xfId="0" applyNumberFormat="1" applyFont="1" applyAlignment="1">
      <alignment horizontal="right" vertical="center"/>
    </xf>
    <xf numFmtId="0" fontId="5" fillId="5" borderId="23" xfId="0" applyFont="1" applyFill="1" applyBorder="1" applyAlignment="1">
      <alignment horizontal="left"/>
    </xf>
    <xf numFmtId="3" fontId="10" fillId="0" borderId="0" xfId="0" applyNumberFormat="1" applyFont="1" applyAlignment="1">
      <alignment horizontal="right" vertical="center"/>
    </xf>
    <xf numFmtId="179" fontId="5" fillId="5" borderId="0" xfId="0" applyNumberFormat="1" applyFont="1" applyFill="1" applyAlignment="1">
      <alignment horizontal="right" vertical="center"/>
    </xf>
    <xf numFmtId="0" fontId="5" fillId="5" borderId="0" xfId="0" applyFont="1" applyFill="1" applyAlignment="1">
      <alignment horizontal="right"/>
    </xf>
    <xf numFmtId="179" fontId="5" fillId="0" borderId="0" xfId="0" applyNumberFormat="1" applyFont="1" applyAlignment="1">
      <alignment horizontal="right" vertical="center"/>
    </xf>
    <xf numFmtId="179" fontId="5" fillId="0" borderId="0" xfId="0" applyNumberFormat="1" applyFont="1" applyAlignment="1">
      <alignment horizontal="center" vertical="center"/>
    </xf>
    <xf numFmtId="0" fontId="56" fillId="5" borderId="0" xfId="0" applyFont="1" applyFill="1" applyAlignment="1">
      <alignment horizontal="left"/>
    </xf>
    <xf numFmtId="179" fontId="10" fillId="5" borderId="0" xfId="0" applyNumberFormat="1" applyFont="1" applyFill="1" applyAlignment="1">
      <alignment horizontal="right" vertical="center"/>
    </xf>
    <xf numFmtId="3" fontId="12" fillId="5" borderId="0" xfId="146" applyNumberFormat="1" applyFont="1" applyFill="1" applyAlignment="1">
      <alignment horizontal="right"/>
    </xf>
    <xf numFmtId="0" fontId="10" fillId="5" borderId="0" xfId="0" applyFont="1" applyFill="1" applyAlignment="1">
      <alignment horizontal="center" vertical="center"/>
    </xf>
    <xf numFmtId="3" fontId="5" fillId="5" borderId="0" xfId="0" applyNumberFormat="1" applyFont="1" applyFill="1" applyAlignment="1">
      <alignment horizontal="right" vertical="center" wrapText="1"/>
    </xf>
    <xf numFmtId="0" fontId="5" fillId="5" borderId="0" xfId="0" applyFont="1" applyFill="1" applyAlignment="1">
      <alignment horizontal="center" vertical="center"/>
    </xf>
    <xf numFmtId="179" fontId="5" fillId="5" borderId="0" xfId="0" applyNumberFormat="1" applyFont="1" applyFill="1" applyAlignment="1">
      <alignment horizontal="center" vertical="center"/>
    </xf>
    <xf numFmtId="4" fontId="5" fillId="5" borderId="0" xfId="0" applyNumberFormat="1" applyFont="1" applyFill="1" applyAlignment="1">
      <alignment horizontal="center" vertical="center"/>
    </xf>
    <xf numFmtId="3" fontId="5" fillId="5" borderId="0" xfId="0" applyNumberFormat="1" applyFont="1" applyFill="1" applyAlignment="1">
      <alignment horizontal="center" vertical="center"/>
    </xf>
    <xf numFmtId="0" fontId="10" fillId="5" borderId="0" xfId="0" applyFont="1" applyFill="1" applyAlignment="1">
      <alignment horizontal="center"/>
    </xf>
    <xf numFmtId="0" fontId="10" fillId="5" borderId="0" xfId="0" applyFont="1" applyFill="1" applyAlignment="1">
      <alignment horizontal="right"/>
    </xf>
    <xf numFmtId="3" fontId="10" fillId="5" borderId="0" xfId="0" applyNumberFormat="1" applyFont="1" applyFill="1" applyAlignment="1">
      <alignment horizontal="right" vertical="center"/>
    </xf>
    <xf numFmtId="179" fontId="10" fillId="5" borderId="0" xfId="0" applyNumberFormat="1" applyFont="1" applyFill="1" applyAlignment="1">
      <alignment horizontal="center" vertical="center"/>
    </xf>
    <xf numFmtId="3" fontId="10" fillId="5" borderId="0" xfId="0" applyNumberFormat="1" applyFont="1" applyFill="1" applyAlignment="1">
      <alignment horizontal="right" vertical="center" wrapText="1"/>
    </xf>
    <xf numFmtId="0" fontId="56" fillId="0" borderId="0" xfId="0" applyFont="1" applyAlignment="1">
      <alignment horizontal="left"/>
    </xf>
    <xf numFmtId="179" fontId="5" fillId="0" borderId="0" xfId="0" applyNumberFormat="1" applyFont="1" applyAlignment="1">
      <alignment horizontal="right"/>
    </xf>
    <xf numFmtId="179" fontId="5" fillId="0" borderId="0" xfId="0" applyNumberFormat="1" applyFont="1" applyAlignment="1">
      <alignment horizontal="center"/>
    </xf>
    <xf numFmtId="3" fontId="5" fillId="0" borderId="0" xfId="0" applyNumberFormat="1" applyFont="1" applyAlignment="1">
      <alignment horizontal="right"/>
    </xf>
    <xf numFmtId="0" fontId="56" fillId="0" borderId="0" xfId="0" applyFont="1"/>
    <xf numFmtId="0" fontId="5" fillId="5" borderId="23" xfId="0" applyFont="1" applyFill="1" applyBorder="1"/>
    <xf numFmtId="0" fontId="20" fillId="5" borderId="0" xfId="0" applyFont="1" applyFill="1"/>
    <xf numFmtId="180" fontId="5" fillId="5" borderId="0" xfId="0" applyNumberFormat="1" applyFont="1" applyFill="1" applyAlignment="1">
      <alignment horizontal="center" vertical="center"/>
    </xf>
    <xf numFmtId="0" fontId="5" fillId="0" borderId="23" xfId="0" applyFont="1" applyBorder="1"/>
    <xf numFmtId="180" fontId="5" fillId="0" borderId="0" xfId="0" applyNumberFormat="1" applyFont="1" applyAlignment="1">
      <alignment horizontal="center" vertical="center"/>
    </xf>
    <xf numFmtId="4" fontId="5" fillId="5" borderId="0" xfId="0" applyNumberFormat="1" applyFont="1" applyFill="1" applyAlignment="1">
      <alignment horizontal="right" vertical="center"/>
    </xf>
    <xf numFmtId="0" fontId="73" fillId="0" borderId="0" xfId="0" applyFont="1"/>
    <xf numFmtId="179" fontId="10" fillId="0" borderId="0" xfId="0" applyNumberFormat="1" applyFont="1" applyAlignment="1">
      <alignment horizontal="right" vertical="center"/>
    </xf>
    <xf numFmtId="3" fontId="10" fillId="0" borderId="0" xfId="0" applyNumberFormat="1" applyFont="1" applyAlignment="1">
      <alignment horizontal="center" vertical="center"/>
    </xf>
    <xf numFmtId="0" fontId="10" fillId="0" borderId="0" xfId="0" applyFont="1" applyAlignment="1">
      <alignment horizontal="center"/>
    </xf>
    <xf numFmtId="179" fontId="10" fillId="0" borderId="0" xfId="0" applyNumberFormat="1" applyFont="1" applyAlignment="1">
      <alignment horizontal="center" vertical="center"/>
    </xf>
    <xf numFmtId="3" fontId="10" fillId="0" borderId="0" xfId="0" applyNumberFormat="1" applyFont="1" applyAlignment="1">
      <alignment horizontal="right"/>
    </xf>
    <xf numFmtId="3" fontId="20" fillId="0" borderId="0" xfId="0" applyNumberFormat="1" applyFont="1" applyAlignment="1">
      <alignment horizontal="center"/>
    </xf>
    <xf numFmtId="3" fontId="5" fillId="5" borderId="0" xfId="1" applyNumberFormat="1" applyFont="1" applyFill="1" applyBorder="1" applyAlignment="1" applyProtection="1">
      <alignment horizontal="right"/>
    </xf>
    <xf numFmtId="3" fontId="10" fillId="5" borderId="0" xfId="0" applyNumberFormat="1" applyFont="1" applyFill="1" applyAlignment="1">
      <alignment horizontal="right"/>
    </xf>
    <xf numFmtId="0" fontId="0" fillId="0" borderId="0" xfId="0" applyAlignment="1">
      <alignment horizontal="right"/>
    </xf>
    <xf numFmtId="3" fontId="19" fillId="5" borderId="0" xfId="0" applyNumberFormat="1" applyFont="1" applyFill="1"/>
    <xf numFmtId="3" fontId="19" fillId="0" borderId="0" xfId="0" applyNumberFormat="1" applyFont="1" applyAlignment="1">
      <alignment horizontal="right"/>
    </xf>
    <xf numFmtId="0" fontId="10" fillId="5" borderId="7" xfId="0" applyFont="1" applyFill="1" applyBorder="1"/>
    <xf numFmtId="0" fontId="0" fillId="0" borderId="7" xfId="0" applyBorder="1" applyAlignment="1">
      <alignment horizontal="right"/>
    </xf>
    <xf numFmtId="0" fontId="0" fillId="0" borderId="7" xfId="0" applyBorder="1" applyAlignment="1">
      <alignment horizontal="center"/>
    </xf>
    <xf numFmtId="0" fontId="0" fillId="0" borderId="7" xfId="0" applyBorder="1"/>
    <xf numFmtId="0" fontId="0" fillId="5" borderId="7" xfId="0" applyFill="1" applyBorder="1"/>
    <xf numFmtId="3" fontId="61" fillId="5" borderId="0" xfId="0" applyNumberFormat="1" applyFont="1" applyFill="1"/>
    <xf numFmtId="3" fontId="0" fillId="5" borderId="0" xfId="0" applyNumberFormat="1" applyFill="1" applyAlignment="1">
      <alignment horizontal="center"/>
    </xf>
    <xf numFmtId="0" fontId="63" fillId="5" borderId="0" xfId="0" applyFont="1" applyFill="1"/>
    <xf numFmtId="0" fontId="20" fillId="5" borderId="0" xfId="0" applyFont="1" applyFill="1" applyAlignment="1">
      <alignment horizontal="center"/>
    </xf>
    <xf numFmtId="4" fontId="5" fillId="5" borderId="0" xfId="0" applyNumberFormat="1" applyFont="1" applyFill="1" applyAlignment="1">
      <alignment horizontal="right"/>
    </xf>
    <xf numFmtId="0" fontId="20" fillId="5" borderId="0" xfId="0" applyFont="1" applyFill="1" applyAlignment="1">
      <alignment horizontal="right"/>
    </xf>
    <xf numFmtId="3" fontId="5" fillId="5" borderId="0" xfId="1" applyNumberFormat="1" applyFont="1" applyFill="1" applyBorder="1" applyProtection="1"/>
    <xf numFmtId="3" fontId="5" fillId="0" borderId="0" xfId="0" applyNumberFormat="1" applyFont="1" applyAlignment="1">
      <alignment horizontal="center"/>
    </xf>
    <xf numFmtId="3" fontId="5" fillId="5" borderId="0" xfId="0" applyNumberFormat="1" applyFont="1" applyFill="1" applyAlignment="1">
      <alignment horizontal="center"/>
    </xf>
    <xf numFmtId="3" fontId="74" fillId="5" borderId="0" xfId="0" applyNumberFormat="1" applyFont="1" applyFill="1" applyAlignment="1">
      <alignment horizontal="right" vertical="center" wrapText="1"/>
    </xf>
    <xf numFmtId="3" fontId="10" fillId="5" borderId="0" xfId="1" applyNumberFormat="1" applyFont="1" applyFill="1" applyBorder="1" applyProtection="1"/>
    <xf numFmtId="3" fontId="10" fillId="0" borderId="0" xfId="0" applyNumberFormat="1" applyFont="1" applyAlignment="1">
      <alignment horizontal="center"/>
    </xf>
    <xf numFmtId="179" fontId="10" fillId="0" borderId="0" xfId="0" applyNumberFormat="1" applyFont="1" applyAlignment="1">
      <alignment horizontal="center"/>
    </xf>
    <xf numFmtId="179" fontId="5" fillId="0" borderId="0" xfId="0" applyNumberFormat="1" applyFont="1" applyAlignment="1">
      <alignment vertical="center"/>
    </xf>
    <xf numFmtId="179" fontId="5" fillId="5" borderId="0" xfId="0" applyNumberFormat="1" applyFont="1" applyFill="1" applyAlignment="1">
      <alignment vertical="center"/>
    </xf>
    <xf numFmtId="0" fontId="10" fillId="0" borderId="7" xfId="0" applyFont="1" applyBorder="1"/>
    <xf numFmtId="179" fontId="10" fillId="0" borderId="7" xfId="0" applyNumberFormat="1" applyFont="1" applyBorder="1" applyAlignment="1">
      <alignment horizontal="right"/>
    </xf>
    <xf numFmtId="0" fontId="10" fillId="0" borderId="7" xfId="0" applyFont="1" applyBorder="1" applyAlignment="1">
      <alignment horizontal="center"/>
    </xf>
    <xf numFmtId="3" fontId="10" fillId="5" borderId="7" xfId="0" applyNumberFormat="1" applyFont="1" applyFill="1" applyBorder="1" applyAlignment="1">
      <alignment horizontal="right"/>
    </xf>
    <xf numFmtId="0" fontId="73" fillId="0" borderId="7" xfId="0" applyFont="1" applyBorder="1"/>
    <xf numFmtId="179" fontId="10" fillId="0" borderId="7" xfId="0" applyNumberFormat="1" applyFont="1" applyBorder="1" applyAlignment="1">
      <alignment horizontal="center"/>
    </xf>
    <xf numFmtId="0" fontId="10" fillId="0" borderId="7" xfId="0" applyFont="1" applyBorder="1" applyAlignment="1">
      <alignment horizontal="right"/>
    </xf>
    <xf numFmtId="3" fontId="10" fillId="0" borderId="7" xfId="0" applyNumberFormat="1" applyFont="1" applyBorder="1" applyAlignment="1">
      <alignment horizontal="right"/>
    </xf>
    <xf numFmtId="3" fontId="19" fillId="0" borderId="0" xfId="0" applyNumberFormat="1" applyFont="1"/>
    <xf numFmtId="0" fontId="10" fillId="5" borderId="0" xfId="0" applyFont="1" applyFill="1" applyAlignment="1">
      <alignment horizontal="left" vertical="center" wrapText="1"/>
    </xf>
    <xf numFmtId="0" fontId="5" fillId="5" borderId="0" xfId="0" applyFont="1" applyFill="1" applyAlignment="1">
      <alignment horizontal="left" vertical="top" wrapText="1"/>
    </xf>
    <xf numFmtId="3" fontId="5" fillId="5" borderId="0" xfId="0" applyNumberFormat="1" applyFont="1" applyFill="1" applyAlignment="1">
      <alignment vertical="top" wrapText="1"/>
    </xf>
    <xf numFmtId="174" fontId="19" fillId="5" borderId="2" xfId="275" applyFont="1" applyFill="1" applyBorder="1" applyProtection="1"/>
    <xf numFmtId="174" fontId="100" fillId="5" borderId="2" xfId="276" applyFill="1" applyBorder="1" applyProtection="1"/>
    <xf numFmtId="3" fontId="0" fillId="0" borderId="0" xfId="0" applyNumberFormat="1"/>
    <xf numFmtId="174" fontId="100" fillId="5" borderId="0" xfId="276" applyFill="1" applyBorder="1" applyProtection="1"/>
    <xf numFmtId="0" fontId="19" fillId="5" borderId="0" xfId="0" applyFont="1" applyFill="1" applyAlignment="1">
      <alignment horizontal="left" vertical="center"/>
    </xf>
    <xf numFmtId="191" fontId="100" fillId="5" borderId="2" xfId="276" applyNumberFormat="1" applyFill="1" applyBorder="1" applyProtection="1"/>
    <xf numFmtId="0" fontId="12" fillId="5" borderId="7" xfId="148" applyFont="1" applyFill="1" applyBorder="1" applyAlignment="1">
      <alignment horizontal="left"/>
    </xf>
    <xf numFmtId="3" fontId="5" fillId="0" borderId="0" xfId="1" applyNumberFormat="1" applyFont="1" applyBorder="1" applyProtection="1"/>
    <xf numFmtId="174" fontId="5" fillId="0" borderId="0" xfId="276" applyFont="1" applyBorder="1" applyProtection="1"/>
    <xf numFmtId="0" fontId="12" fillId="5" borderId="0" xfId="148" applyFont="1" applyFill="1"/>
    <xf numFmtId="184" fontId="10" fillId="5" borderId="12" xfId="0" applyNumberFormat="1" applyFont="1" applyFill="1" applyBorder="1"/>
    <xf numFmtId="3" fontId="5" fillId="0" borderId="0" xfId="276" applyNumberFormat="1" applyFont="1" applyBorder="1" applyProtection="1"/>
    <xf numFmtId="0" fontId="19" fillId="5" borderId="0" xfId="0" applyFont="1" applyFill="1" applyAlignment="1">
      <alignment vertical="center"/>
    </xf>
    <xf numFmtId="0" fontId="27" fillId="7" borderId="0" xfId="0" applyFont="1" applyFill="1" applyAlignment="1">
      <alignment horizontal="right" vertical="center" wrapText="1"/>
    </xf>
    <xf numFmtId="0" fontId="0" fillId="5" borderId="0" xfId="0" applyFill="1" applyAlignment="1">
      <alignment horizontal="left" vertical="center"/>
    </xf>
    <xf numFmtId="191" fontId="100" fillId="0" borderId="0" xfId="276" applyNumberFormat="1" applyBorder="1" applyProtection="1"/>
    <xf numFmtId="186" fontId="2" fillId="5" borderId="0" xfId="1" applyNumberFormat="1" applyFont="1" applyFill="1" applyBorder="1" applyAlignment="1" applyProtection="1">
      <alignment horizontal="right"/>
    </xf>
    <xf numFmtId="0" fontId="19" fillId="0" borderId="7" xfId="0" applyFont="1" applyBorder="1"/>
    <xf numFmtId="186" fontId="12" fillId="5" borderId="7" xfId="1" applyNumberFormat="1" applyFont="1" applyFill="1" applyBorder="1" applyProtection="1"/>
    <xf numFmtId="186" fontId="12" fillId="5" borderId="7" xfId="1" applyNumberFormat="1" applyFont="1" applyFill="1" applyBorder="1" applyAlignment="1" applyProtection="1">
      <alignment horizontal="right"/>
    </xf>
    <xf numFmtId="186" fontId="19" fillId="0" borderId="0" xfId="0" applyNumberFormat="1" applyFont="1"/>
    <xf numFmtId="0" fontId="19" fillId="5" borderId="7" xfId="0" applyFont="1" applyFill="1" applyBorder="1"/>
    <xf numFmtId="3" fontId="0" fillId="5" borderId="7" xfId="0" applyNumberFormat="1" applyFill="1" applyBorder="1"/>
    <xf numFmtId="0" fontId="0" fillId="0" borderId="0" xfId="0" applyAlignment="1">
      <alignment horizontal="right" vertical="center"/>
    </xf>
    <xf numFmtId="0" fontId="19" fillId="5" borderId="0" xfId="0" applyFont="1" applyFill="1" applyAlignment="1">
      <alignment horizontal="left"/>
    </xf>
    <xf numFmtId="174" fontId="100" fillId="5" borderId="0" xfId="276" applyFill="1" applyBorder="1" applyAlignment="1" applyProtection="1">
      <alignment horizontal="right"/>
    </xf>
    <xf numFmtId="174" fontId="19" fillId="5" borderId="2" xfId="275" applyFont="1" applyFill="1" applyBorder="1" applyAlignment="1" applyProtection="1">
      <alignment horizontal="right"/>
    </xf>
    <xf numFmtId="0" fontId="60" fillId="5" borderId="0" xfId="0" applyFont="1" applyFill="1" applyAlignment="1">
      <alignment horizontal="center"/>
    </xf>
    <xf numFmtId="0" fontId="19" fillId="0" borderId="0" xfId="0" applyFont="1" applyAlignment="1">
      <alignment horizontal="right" vertical="center"/>
    </xf>
    <xf numFmtId="174" fontId="100" fillId="0" borderId="0" xfId="276" applyBorder="1" applyAlignment="1" applyProtection="1">
      <alignment horizontal="right"/>
    </xf>
    <xf numFmtId="186" fontId="75" fillId="0" borderId="0" xfId="1" applyNumberFormat="1" applyFont="1" applyBorder="1" applyAlignment="1" applyProtection="1">
      <alignment horizontal="right"/>
    </xf>
    <xf numFmtId="186" fontId="12" fillId="0" borderId="0" xfId="1" applyNumberFormat="1" applyFont="1" applyBorder="1" applyAlignment="1" applyProtection="1">
      <alignment horizontal="right"/>
    </xf>
    <xf numFmtId="0" fontId="53" fillId="5" borderId="0" xfId="0" applyFont="1" applyFill="1"/>
    <xf numFmtId="0" fontId="77" fillId="5" borderId="0" xfId="0" applyFont="1" applyFill="1"/>
    <xf numFmtId="0" fontId="46" fillId="5" borderId="0" xfId="0" applyFont="1" applyFill="1" applyAlignment="1">
      <alignment vertical="center" wrapText="1"/>
    </xf>
    <xf numFmtId="0" fontId="46" fillId="5" borderId="0" xfId="0" applyFont="1" applyFill="1" applyAlignment="1">
      <alignment horizontal="center" vertical="center" wrapText="1"/>
    </xf>
    <xf numFmtId="0" fontId="63" fillId="7" borderId="25" xfId="0" applyFont="1" applyFill="1" applyBorder="1"/>
    <xf numFmtId="0" fontId="51" fillId="7" borderId="26" xfId="0" applyFont="1" applyFill="1" applyBorder="1" applyAlignment="1">
      <alignment horizontal="center" vertical="center" wrapText="1"/>
    </xf>
    <xf numFmtId="0" fontId="51" fillId="7" borderId="26" xfId="0" applyFont="1" applyFill="1" applyBorder="1" applyAlignment="1">
      <alignment vertical="center" wrapText="1"/>
    </xf>
    <xf numFmtId="0" fontId="63" fillId="7" borderId="27" xfId="0" applyFont="1" applyFill="1" applyBorder="1"/>
    <xf numFmtId="0" fontId="51" fillId="7" borderId="28" xfId="0" applyFont="1" applyFill="1" applyBorder="1" applyAlignment="1">
      <alignment vertical="center" wrapText="1"/>
    </xf>
    <xf numFmtId="0" fontId="51" fillId="7" borderId="29" xfId="0" applyFont="1" applyFill="1" applyBorder="1" applyAlignment="1">
      <alignment horizontal="center" vertical="center" wrapText="1"/>
    </xf>
    <xf numFmtId="0" fontId="22" fillId="0" borderId="9" xfId="0" applyFont="1" applyBorder="1" applyAlignment="1">
      <alignment vertical="center" wrapText="1"/>
    </xf>
    <xf numFmtId="3" fontId="5" fillId="0" borderId="9" xfId="0" applyNumberFormat="1" applyFont="1" applyBorder="1" applyAlignment="1">
      <alignment horizontal="right" vertical="center" wrapText="1"/>
    </xf>
    <xf numFmtId="3" fontId="0" fillId="0" borderId="9" xfId="0" applyNumberFormat="1" applyBorder="1"/>
    <xf numFmtId="3" fontId="22" fillId="0" borderId="9" xfId="0" applyNumberFormat="1" applyFont="1" applyBorder="1" applyAlignment="1">
      <alignment horizontal="right" vertical="center" wrapText="1"/>
    </xf>
    <xf numFmtId="3" fontId="22" fillId="5" borderId="9" xfId="0" applyNumberFormat="1" applyFont="1" applyFill="1" applyBorder="1" applyAlignment="1">
      <alignment horizontal="right" vertical="center" wrapText="1"/>
    </xf>
    <xf numFmtId="0" fontId="22" fillId="5" borderId="9" xfId="0" applyFont="1" applyFill="1" applyBorder="1" applyAlignment="1">
      <alignment vertical="center" wrapText="1"/>
    </xf>
    <xf numFmtId="0" fontId="30" fillId="0" borderId="9" xfId="0" applyFont="1" applyBorder="1" applyAlignment="1">
      <alignment vertical="center" wrapText="1"/>
    </xf>
    <xf numFmtId="186" fontId="12" fillId="5" borderId="9" xfId="1" applyNumberFormat="1" applyFont="1" applyFill="1" applyBorder="1" applyAlignment="1" applyProtection="1">
      <alignment horizontal="right"/>
    </xf>
    <xf numFmtId="186" fontId="0" fillId="5" borderId="0" xfId="0" applyNumberFormat="1" applyFill="1"/>
    <xf numFmtId="178" fontId="5" fillId="5" borderId="0" xfId="2" applyFont="1" applyFill="1" applyBorder="1" applyProtection="1"/>
    <xf numFmtId="186" fontId="5" fillId="5" borderId="0" xfId="26" applyNumberFormat="1" applyFont="1" applyFill="1" applyBorder="1" applyProtection="1"/>
    <xf numFmtId="3" fontId="0" fillId="5" borderId="0" xfId="0" applyNumberFormat="1" applyFill="1" applyAlignment="1">
      <alignment horizontal="right"/>
    </xf>
    <xf numFmtId="174" fontId="10" fillId="5" borderId="2" xfId="275" applyFont="1" applyFill="1" applyBorder="1" applyAlignment="1" applyProtection="1">
      <alignment horizontal="center"/>
    </xf>
    <xf numFmtId="174" fontId="0" fillId="5" borderId="0" xfId="0" applyNumberFormat="1" applyFill="1"/>
    <xf numFmtId="174" fontId="10" fillId="5" borderId="2" xfId="275" applyFont="1" applyFill="1" applyBorder="1" applyProtection="1"/>
    <xf numFmtId="3" fontId="0" fillId="0" borderId="7" xfId="0" applyNumberFormat="1" applyBorder="1"/>
    <xf numFmtId="186" fontId="12" fillId="5" borderId="0" xfId="1" applyNumberFormat="1" applyFont="1" applyFill="1" applyBorder="1" applyAlignment="1" applyProtection="1">
      <alignment horizontal="right"/>
    </xf>
    <xf numFmtId="178" fontId="78" fillId="5" borderId="0" xfId="2" applyFont="1" applyFill="1" applyBorder="1" applyProtection="1"/>
    <xf numFmtId="0" fontId="27" fillId="5" borderId="0" xfId="0" applyFont="1" applyFill="1" applyAlignment="1">
      <alignment horizontal="left"/>
    </xf>
    <xf numFmtId="3" fontId="2" fillId="5" borderId="7" xfId="1" applyNumberFormat="1" applyFont="1" applyFill="1" applyBorder="1" applyAlignment="1" applyProtection="1">
      <alignment horizontal="right"/>
    </xf>
    <xf numFmtId="3" fontId="12" fillId="5" borderId="0" xfId="1" applyNumberFormat="1" applyFont="1" applyFill="1" applyBorder="1" applyAlignment="1" applyProtection="1">
      <alignment horizontal="right"/>
    </xf>
    <xf numFmtId="3" fontId="5" fillId="5" borderId="7" xfId="0" applyNumberFormat="1" applyFont="1" applyFill="1" applyBorder="1"/>
    <xf numFmtId="192" fontId="10" fillId="5" borderId="2" xfId="275" applyNumberFormat="1" applyFont="1" applyFill="1" applyBorder="1" applyProtection="1"/>
    <xf numFmtId="0" fontId="10" fillId="5" borderId="0" xfId="0" applyFont="1" applyFill="1" applyAlignment="1">
      <alignment vertical="center" wrapText="1"/>
    </xf>
    <xf numFmtId="3" fontId="53" fillId="5" borderId="0" xfId="0" applyNumberFormat="1" applyFont="1" applyFill="1" applyAlignment="1">
      <alignment horizontal="center" wrapText="1"/>
    </xf>
    <xf numFmtId="0" fontId="54" fillId="5" borderId="0" xfId="0" applyFont="1" applyFill="1" applyAlignment="1">
      <alignment wrapText="1"/>
    </xf>
    <xf numFmtId="3" fontId="53" fillId="5" borderId="0" xfId="0" applyNumberFormat="1" applyFont="1" applyFill="1" applyAlignment="1">
      <alignment horizontal="center"/>
    </xf>
    <xf numFmtId="0" fontId="53" fillId="5" borderId="0" xfId="0" applyFont="1" applyFill="1" applyAlignment="1">
      <alignment wrapText="1"/>
    </xf>
    <xf numFmtId="0" fontId="27" fillId="0" borderId="0" xfId="0" applyFont="1"/>
    <xf numFmtId="0" fontId="53" fillId="0" borderId="30" xfId="0" applyFont="1" applyBorder="1" applyAlignment="1">
      <alignment horizontal="center" vertical="center" wrapText="1"/>
    </xf>
    <xf numFmtId="0" fontId="53" fillId="0" borderId="31" xfId="0" applyFont="1" applyBorder="1" applyAlignment="1">
      <alignment horizontal="center" vertical="center" wrapText="1"/>
    </xf>
    <xf numFmtId="0" fontId="62" fillId="5" borderId="32" xfId="0" applyFont="1" applyFill="1" applyBorder="1" applyAlignment="1">
      <alignment vertical="top" wrapText="1"/>
    </xf>
    <xf numFmtId="0" fontId="62" fillId="5" borderId="33" xfId="0" applyFont="1" applyFill="1" applyBorder="1" applyAlignment="1">
      <alignment vertical="top" wrapText="1"/>
    </xf>
    <xf numFmtId="0" fontId="76" fillId="0" borderId="33" xfId="0" applyFont="1" applyBorder="1" applyAlignment="1">
      <alignment vertical="center" wrapText="1"/>
    </xf>
    <xf numFmtId="0" fontId="76" fillId="0" borderId="34" xfId="0" applyFont="1" applyBorder="1" applyAlignment="1">
      <alignment vertical="center" wrapText="1"/>
    </xf>
    <xf numFmtId="0" fontId="76" fillId="0" borderId="35" xfId="0" applyFont="1" applyBorder="1" applyAlignment="1">
      <alignment horizontal="center" vertical="center" wrapText="1"/>
    </xf>
    <xf numFmtId="0" fontId="76" fillId="0" borderId="36" xfId="0" applyFont="1" applyBorder="1" applyAlignment="1">
      <alignment horizontal="center" vertical="center" wrapText="1"/>
    </xf>
    <xf numFmtId="0" fontId="76" fillId="0" borderId="36" xfId="0" applyFont="1" applyBorder="1" applyAlignment="1">
      <alignment vertical="center" wrapText="1"/>
    </xf>
    <xf numFmtId="0" fontId="76" fillId="0" borderId="37" xfId="0" applyFont="1" applyBorder="1" applyAlignment="1">
      <alignment vertical="center" wrapText="1"/>
    </xf>
    <xf numFmtId="0" fontId="76" fillId="0" borderId="38" xfId="0" applyFont="1" applyBorder="1" applyAlignment="1">
      <alignment horizontal="center" vertical="center" wrapText="1"/>
    </xf>
    <xf numFmtId="0" fontId="76" fillId="0" borderId="39" xfId="0" applyFont="1" applyBorder="1" applyAlignment="1">
      <alignment horizontal="center" vertical="center" wrapText="1"/>
    </xf>
    <xf numFmtId="0" fontId="76" fillId="0" borderId="39" xfId="0" applyFont="1" applyBorder="1" applyAlignment="1">
      <alignment vertical="center" wrapText="1"/>
    </xf>
    <xf numFmtId="0" fontId="76" fillId="0" borderId="40" xfId="0" applyFont="1" applyBorder="1" applyAlignment="1">
      <alignment vertical="center" wrapText="1"/>
    </xf>
    <xf numFmtId="0" fontId="62" fillId="5" borderId="41" xfId="0" applyFont="1" applyFill="1" applyBorder="1"/>
    <xf numFmtId="0" fontId="79" fillId="0" borderId="0" xfId="0" applyFont="1"/>
    <xf numFmtId="0" fontId="79" fillId="5" borderId="0" xfId="0" applyFont="1" applyFill="1"/>
    <xf numFmtId="0" fontId="79" fillId="5" borderId="0" xfId="0" applyFont="1" applyFill="1" applyAlignment="1">
      <alignment vertical="center" wrapText="1"/>
    </xf>
    <xf numFmtId="0" fontId="80" fillId="0" borderId="9" xfId="0" applyFont="1" applyBorder="1" applyAlignment="1">
      <alignment horizontal="justify" vertical="center" wrapText="1"/>
    </xf>
    <xf numFmtId="3" fontId="80" fillId="0" borderId="9" xfId="0" applyNumberFormat="1" applyFont="1" applyBorder="1" applyAlignment="1">
      <alignment vertical="center" wrapText="1"/>
    </xf>
    <xf numFmtId="0" fontId="72" fillId="0" borderId="9" xfId="0" applyFont="1" applyBorder="1" applyAlignment="1">
      <alignment horizontal="justify" vertical="center" wrapText="1"/>
    </xf>
    <xf numFmtId="3" fontId="72" fillId="0" borderId="9" xfId="0" applyNumberFormat="1" applyFont="1" applyBorder="1" applyAlignment="1">
      <alignment vertical="center" wrapText="1"/>
    </xf>
    <xf numFmtId="0" fontId="72" fillId="0" borderId="9" xfId="0" applyFont="1" applyBorder="1" applyAlignment="1">
      <alignment vertical="center" wrapText="1"/>
    </xf>
    <xf numFmtId="0" fontId="81" fillId="7" borderId="9" xfId="0" applyFont="1" applyFill="1" applyBorder="1" applyAlignment="1">
      <alignment horizontal="justify" vertical="center" wrapText="1"/>
    </xf>
    <xf numFmtId="3" fontId="81" fillId="7" borderId="9" xfId="0" applyNumberFormat="1" applyFont="1" applyFill="1" applyBorder="1" applyAlignment="1">
      <alignment horizontal="right" vertical="center" wrapText="1"/>
    </xf>
    <xf numFmtId="0" fontId="82" fillId="5" borderId="0" xfId="0" applyFont="1" applyFill="1"/>
    <xf numFmtId="0" fontId="14" fillId="0" borderId="0" xfId="3" applyBorder="1" applyAlignment="1" applyProtection="1">
      <alignment horizontal="center" vertical="center"/>
    </xf>
    <xf numFmtId="0" fontId="27" fillId="11" borderId="0" xfId="0" applyFont="1" applyFill="1"/>
    <xf numFmtId="0" fontId="27" fillId="5" borderId="0" xfId="0" applyFont="1" applyFill="1"/>
    <xf numFmtId="0" fontId="86" fillId="5" borderId="0" xfId="0" applyFont="1" applyFill="1" applyAlignment="1">
      <alignment horizontal="left" vertical="top" wrapText="1"/>
    </xf>
    <xf numFmtId="0" fontId="87" fillId="5" borderId="42" xfId="0" applyFont="1" applyFill="1" applyBorder="1" applyAlignment="1">
      <alignment vertical="top" wrapText="1"/>
    </xf>
    <xf numFmtId="0" fontId="88" fillId="5" borderId="43" xfId="0" applyFont="1" applyFill="1" applyBorder="1" applyAlignment="1">
      <alignment horizontal="center" vertical="top" wrapText="1"/>
    </xf>
    <xf numFmtId="0" fontId="87" fillId="5" borderId="44" xfId="0" applyFont="1" applyFill="1" applyBorder="1" applyAlignment="1">
      <alignment horizontal="center" vertical="top" wrapText="1"/>
    </xf>
    <xf numFmtId="0" fontId="87" fillId="5" borderId="0" xfId="0" applyFont="1" applyFill="1" applyAlignment="1">
      <alignment horizontal="center" vertical="top" wrapText="1"/>
    </xf>
    <xf numFmtId="0" fontId="0" fillId="5" borderId="0" xfId="0" applyFill="1" applyAlignment="1">
      <alignment horizontal="left" vertical="top"/>
    </xf>
    <xf numFmtId="0" fontId="89" fillId="5" borderId="42" xfId="0" applyFont="1" applyFill="1" applyBorder="1" applyAlignment="1">
      <alignment horizontal="left" vertical="top" wrapText="1"/>
    </xf>
    <xf numFmtId="3" fontId="90" fillId="5" borderId="43" xfId="0" applyNumberFormat="1" applyFont="1" applyFill="1" applyBorder="1" applyAlignment="1">
      <alignment horizontal="center" vertical="top" shrinkToFit="1"/>
    </xf>
    <xf numFmtId="178" fontId="100" fillId="0" borderId="44" xfId="2" applyBorder="1" applyProtection="1"/>
    <xf numFmtId="189" fontId="90" fillId="5" borderId="0" xfId="0" applyNumberFormat="1" applyFont="1" applyFill="1" applyAlignment="1">
      <alignment horizontal="center" vertical="top" shrinkToFit="1"/>
    </xf>
    <xf numFmtId="0" fontId="89" fillId="5" borderId="0" xfId="0" applyFont="1" applyFill="1" applyAlignment="1">
      <alignment horizontal="left" vertical="top" wrapText="1"/>
    </xf>
    <xf numFmtId="3" fontId="90" fillId="5" borderId="0" xfId="0" applyNumberFormat="1" applyFont="1" applyFill="1" applyAlignment="1">
      <alignment horizontal="center" vertical="top" shrinkToFit="1"/>
    </xf>
    <xf numFmtId="0" fontId="91" fillId="0" borderId="9" xfId="0" applyFont="1" applyBorder="1" applyAlignment="1">
      <alignment horizontal="center" vertical="center"/>
    </xf>
    <xf numFmtId="0" fontId="92" fillId="0" borderId="9" xfId="0" applyFont="1" applyBorder="1" applyAlignment="1">
      <alignment vertical="center"/>
    </xf>
    <xf numFmtId="0" fontId="92" fillId="0" borderId="9" xfId="0" applyFont="1" applyBorder="1" applyAlignment="1">
      <alignment horizontal="center" vertical="center"/>
    </xf>
    <xf numFmtId="0" fontId="91" fillId="0" borderId="0" xfId="0" applyFont="1" applyAlignment="1">
      <alignment vertical="center"/>
    </xf>
    <xf numFmtId="0" fontId="92" fillId="0" borderId="0" xfId="0" applyFont="1" applyAlignment="1">
      <alignment vertical="center"/>
    </xf>
    <xf numFmtId="0" fontId="92" fillId="0" borderId="0" xfId="0" applyFont="1" applyAlignment="1">
      <alignment horizontal="center" vertical="center"/>
    </xf>
    <xf numFmtId="0" fontId="86" fillId="5" borderId="0" xfId="0" applyFont="1" applyFill="1" applyAlignment="1">
      <alignment vertical="center"/>
    </xf>
    <xf numFmtId="0" fontId="91" fillId="5" borderId="16" xfId="0" applyFont="1" applyFill="1" applyBorder="1" applyAlignment="1">
      <alignment horizontal="center" vertical="center" readingOrder="1"/>
    </xf>
    <xf numFmtId="0" fontId="91" fillId="5" borderId="9" xfId="0" applyFont="1" applyFill="1" applyBorder="1" applyAlignment="1">
      <alignment horizontal="center" vertical="center" wrapText="1" readingOrder="1"/>
    </xf>
    <xf numFmtId="0" fontId="93" fillId="5" borderId="45" xfId="0" applyFont="1" applyFill="1" applyBorder="1" applyAlignment="1">
      <alignment horizontal="left" vertical="top" wrapText="1"/>
    </xf>
    <xf numFmtId="179" fontId="92" fillId="5" borderId="9" xfId="0" applyNumberFormat="1" applyFont="1" applyFill="1" applyBorder="1" applyAlignment="1">
      <alignment horizontal="center"/>
    </xf>
    <xf numFmtId="0" fontId="92" fillId="5" borderId="9" xfId="0" applyFont="1" applyFill="1" applyBorder="1" applyAlignment="1">
      <alignment horizontal="center"/>
    </xf>
    <xf numFmtId="0" fontId="93" fillId="5" borderId="42" xfId="0" applyFont="1" applyFill="1" applyBorder="1" applyAlignment="1">
      <alignment horizontal="left" vertical="top" wrapText="1"/>
    </xf>
    <xf numFmtId="0" fontId="88" fillId="5" borderId="42" xfId="0" applyFont="1" applyFill="1" applyBorder="1" applyAlignment="1">
      <alignment horizontal="center" vertical="top" wrapText="1"/>
    </xf>
    <xf numFmtId="0" fontId="88" fillId="5" borderId="46" xfId="0" applyFont="1" applyFill="1" applyBorder="1" applyAlignment="1">
      <alignment horizontal="center" vertical="top" wrapText="1"/>
    </xf>
    <xf numFmtId="0" fontId="88" fillId="5" borderId="0" xfId="0" applyFont="1" applyFill="1" applyAlignment="1">
      <alignment vertical="top" wrapText="1"/>
    </xf>
    <xf numFmtId="0" fontId="93" fillId="5" borderId="47" xfId="0" applyFont="1" applyFill="1" applyBorder="1" applyAlignment="1">
      <alignment horizontal="center" vertical="top" wrapText="1"/>
    </xf>
    <xf numFmtId="0" fontId="93" fillId="5" borderId="0" xfId="0" applyFont="1" applyFill="1" applyAlignment="1">
      <alignment vertical="top" wrapText="1"/>
    </xf>
    <xf numFmtId="0" fontId="93" fillId="5" borderId="44" xfId="0" applyFont="1" applyFill="1" applyBorder="1" applyAlignment="1">
      <alignment horizontal="left" vertical="top" wrapText="1"/>
    </xf>
    <xf numFmtId="0" fontId="93" fillId="5" borderId="48" xfId="0" applyFont="1" applyFill="1" applyBorder="1" applyAlignment="1">
      <alignment horizontal="center" vertical="top" wrapText="1"/>
    </xf>
    <xf numFmtId="0" fontId="94" fillId="5" borderId="0" xfId="0" applyFont="1" applyFill="1" applyAlignment="1">
      <alignment vertical="top" wrapText="1"/>
    </xf>
    <xf numFmtId="0" fontId="94" fillId="5" borderId="0" xfId="0" applyFont="1" applyFill="1" applyAlignment="1">
      <alignment vertical="top"/>
    </xf>
    <xf numFmtId="0" fontId="87" fillId="5" borderId="0" xfId="0" applyFont="1" applyFill="1" applyAlignment="1">
      <alignment vertical="top" wrapText="1"/>
    </xf>
    <xf numFmtId="0" fontId="87" fillId="5" borderId="9" xfId="0" applyFont="1" applyFill="1" applyBorder="1" applyAlignment="1">
      <alignment horizontal="center" vertical="top" wrapText="1"/>
    </xf>
    <xf numFmtId="0" fontId="87" fillId="5" borderId="9" xfId="0" applyFont="1" applyFill="1" applyBorder="1" applyAlignment="1">
      <alignment horizontal="center" vertical="center" wrapText="1"/>
    </xf>
    <xf numFmtId="0" fontId="92" fillId="5" borderId="9" xfId="0" applyFont="1" applyFill="1" applyBorder="1" applyAlignment="1">
      <alignment vertical="center"/>
    </xf>
    <xf numFmtId="0" fontId="89" fillId="5" borderId="9" xfId="0" applyFont="1" applyFill="1" applyBorder="1" applyAlignment="1">
      <alignment horizontal="center" vertical="center"/>
    </xf>
    <xf numFmtId="0" fontId="95" fillId="5" borderId="0" xfId="0" applyFont="1" applyFill="1" applyAlignment="1">
      <alignment horizontal="left" vertical="top"/>
    </xf>
    <xf numFmtId="0" fontId="87" fillId="5" borderId="16" xfId="0" applyFont="1" applyFill="1" applyBorder="1" applyAlignment="1">
      <alignment horizontal="center" vertical="top" wrapText="1"/>
    </xf>
    <xf numFmtId="0" fontId="88" fillId="5" borderId="9" xfId="0" applyFont="1" applyFill="1" applyBorder="1" applyAlignment="1">
      <alignment horizontal="center" vertical="center" wrapText="1"/>
    </xf>
    <xf numFmtId="0" fontId="96" fillId="5" borderId="0" xfId="0" applyFont="1" applyFill="1" applyAlignment="1">
      <alignment horizontal="left" vertical="top"/>
    </xf>
    <xf numFmtId="0" fontId="60" fillId="5" borderId="0" xfId="0" applyFont="1" applyFill="1" applyAlignment="1">
      <alignment horizontal="left" vertical="top"/>
    </xf>
    <xf numFmtId="0" fontId="87" fillId="5" borderId="9" xfId="0" applyFont="1" applyFill="1" applyBorder="1" applyAlignment="1">
      <alignment vertical="top" wrapText="1"/>
    </xf>
    <xf numFmtId="0" fontId="87" fillId="5" borderId="0" xfId="0" applyFont="1" applyFill="1" applyAlignment="1">
      <alignment horizontal="left" vertical="top" wrapText="1"/>
    </xf>
    <xf numFmtId="0" fontId="91" fillId="5" borderId="0" xfId="0" applyFont="1" applyFill="1" applyAlignment="1">
      <alignment horizontal="left" vertical="top"/>
    </xf>
    <xf numFmtId="0" fontId="92" fillId="5" borderId="0" xfId="0" applyFont="1" applyFill="1" applyAlignment="1">
      <alignment horizontal="left" vertical="top"/>
    </xf>
    <xf numFmtId="0" fontId="88" fillId="0" borderId="0" xfId="0" applyFont="1" applyAlignment="1">
      <alignment horizontal="right" vertical="top" wrapText="1"/>
    </xf>
    <xf numFmtId="0" fontId="0" fillId="5" borderId="0" xfId="0" applyFill="1" applyAlignment="1">
      <alignment horizontal="left" vertical="top" wrapText="1" indent="12"/>
    </xf>
    <xf numFmtId="0" fontId="97" fillId="5" borderId="0" xfId="0" applyFont="1" applyFill="1" applyAlignment="1">
      <alignment horizontal="left" vertical="top"/>
    </xf>
    <xf numFmtId="0" fontId="3" fillId="5" borderId="0" xfId="0" applyFont="1" applyFill="1" applyAlignment="1">
      <alignment horizontal="left" vertical="top"/>
    </xf>
    <xf numFmtId="0" fontId="98" fillId="5" borderId="0" xfId="0" applyFont="1" applyFill="1" applyAlignment="1">
      <alignment horizontal="left" vertical="top"/>
    </xf>
    <xf numFmtId="0" fontId="97" fillId="5" borderId="0" xfId="0" applyFont="1" applyFill="1" applyAlignment="1">
      <alignment horizontal="left" vertical="top" indent="7"/>
    </xf>
    <xf numFmtId="0" fontId="87" fillId="0" borderId="0" xfId="0" applyFont="1" applyAlignment="1">
      <alignment horizontal="center" vertical="top" wrapText="1"/>
    </xf>
    <xf numFmtId="0" fontId="19" fillId="5" borderId="9" xfId="0" applyFont="1" applyFill="1" applyBorder="1"/>
    <xf numFmtId="0" fontId="53" fillId="5" borderId="9" xfId="0" applyFont="1" applyFill="1" applyBorder="1"/>
    <xf numFmtId="0" fontId="62" fillId="5" borderId="9" xfId="0" applyFont="1" applyFill="1" applyBorder="1"/>
    <xf numFmtId="3" fontId="62" fillId="5" borderId="9" xfId="0" applyNumberFormat="1" applyFont="1" applyFill="1" applyBorder="1"/>
    <xf numFmtId="3" fontId="39" fillId="5" borderId="7" xfId="0" applyNumberFormat="1" applyFont="1" applyFill="1" applyBorder="1"/>
    <xf numFmtId="183" fontId="104" fillId="12" borderId="0" xfId="0" applyNumberFormat="1" applyFont="1" applyFill="1"/>
    <xf numFmtId="181" fontId="11" fillId="0" borderId="0" xfId="0" applyNumberFormat="1" applyFont="1" applyProtection="1">
      <protection locked="0"/>
    </xf>
    <xf numFmtId="184" fontId="0" fillId="0" borderId="0" xfId="0" applyNumberFormat="1"/>
    <xf numFmtId="0" fontId="10" fillId="0" borderId="2" xfId="0" applyFont="1" applyBorder="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top" wrapText="1"/>
    </xf>
    <xf numFmtId="0" fontId="5" fillId="0" borderId="0" xfId="0" applyFont="1" applyAlignment="1">
      <alignment vertical="top" wrapText="1"/>
    </xf>
    <xf numFmtId="0" fontId="18" fillId="0" borderId="9" xfId="0" applyFont="1" applyBorder="1" applyAlignment="1">
      <alignment horizontal="left" vertical="center" wrapText="1"/>
    </xf>
    <xf numFmtId="0" fontId="10" fillId="0" borderId="9" xfId="0" applyFont="1" applyBorder="1" applyAlignment="1">
      <alignment horizontal="left" vertical="top"/>
    </xf>
    <xf numFmtId="0" fontId="5" fillId="0" borderId="9" xfId="0" applyFont="1" applyBorder="1" applyAlignment="1">
      <alignment horizontal="left" vertical="center"/>
    </xf>
    <xf numFmtId="0" fontId="13" fillId="0" borderId="8" xfId="0" applyFont="1" applyBorder="1" applyAlignment="1">
      <alignment horizontal="left" vertical="center" wrapText="1"/>
    </xf>
    <xf numFmtId="0" fontId="12" fillId="0" borderId="0" xfId="0" applyFont="1" applyAlignment="1" applyProtection="1">
      <alignment horizontal="center"/>
      <protection locked="0"/>
    </xf>
    <xf numFmtId="0" fontId="2" fillId="0" borderId="0" xfId="0" applyFont="1" applyAlignment="1" applyProtection="1">
      <alignment horizontal="center"/>
      <protection locked="0"/>
    </xf>
    <xf numFmtId="0" fontId="12" fillId="0" borderId="0" xfId="0" applyFont="1" applyAlignment="1">
      <alignment horizontal="left" vertical="top"/>
    </xf>
    <xf numFmtId="0" fontId="0" fillId="0" borderId="0" xfId="0" applyAlignment="1">
      <alignment vertical="top"/>
    </xf>
    <xf numFmtId="0" fontId="23" fillId="7" borderId="0" xfId="0" applyFont="1" applyFill="1" applyAlignment="1">
      <alignment horizontal="left" vertical="top"/>
    </xf>
    <xf numFmtId="0" fontId="0" fillId="0" borderId="0" xfId="0" applyAlignment="1">
      <alignment horizontal="left" vertical="top"/>
    </xf>
    <xf numFmtId="0" fontId="5" fillId="0" borderId="0" xfId="0" applyFont="1" applyAlignment="1">
      <alignment horizontal="left" vertical="top"/>
    </xf>
    <xf numFmtId="181" fontId="33" fillId="0" borderId="0" xfId="1" applyNumberFormat="1" applyFont="1" applyBorder="1" applyAlignment="1" applyProtection="1">
      <alignment horizontal="center"/>
      <protection locked="0"/>
    </xf>
    <xf numFmtId="181" fontId="8" fillId="0" borderId="0" xfId="1" applyNumberFormat="1" applyFont="1" applyBorder="1" applyAlignment="1" applyProtection="1">
      <alignment horizontal="center"/>
      <protection locked="0"/>
    </xf>
    <xf numFmtId="0" fontId="34" fillId="0" borderId="0" xfId="0" applyFont="1" applyAlignment="1" applyProtection="1">
      <alignment horizontal="left" vertical="center"/>
      <protection locked="0"/>
    </xf>
    <xf numFmtId="3" fontId="5" fillId="0" borderId="0" xfId="0" applyNumberFormat="1" applyFont="1" applyAlignment="1" applyProtection="1">
      <alignment horizontal="center"/>
      <protection locked="0"/>
    </xf>
    <xf numFmtId="0" fontId="5" fillId="0" borderId="0" xfId="0" applyFont="1" applyAlignment="1" applyProtection="1">
      <alignment horizontal="center"/>
      <protection locked="0"/>
    </xf>
    <xf numFmtId="0" fontId="38" fillId="0" borderId="0" xfId="0" applyFont="1" applyAlignment="1">
      <alignment horizontal="center"/>
    </xf>
    <xf numFmtId="0" fontId="20" fillId="0" borderId="0" xfId="0" applyFont="1" applyAlignment="1">
      <alignment horizontal="center"/>
    </xf>
    <xf numFmtId="0" fontId="27" fillId="7" borderId="0" xfId="0" applyFont="1" applyFill="1" applyAlignment="1">
      <alignment horizontal="center" vertical="center" wrapText="1"/>
    </xf>
    <xf numFmtId="183" fontId="27" fillId="7" borderId="7" xfId="1" applyNumberFormat="1" applyFont="1" applyFill="1" applyBorder="1" applyAlignment="1" applyProtection="1">
      <alignment horizontal="center" vertical="center" wrapText="1"/>
    </xf>
    <xf numFmtId="0" fontId="27" fillId="0" borderId="0" xfId="0" applyFont="1" applyAlignment="1">
      <alignment horizontal="center" vertical="center" wrapText="1"/>
    </xf>
    <xf numFmtId="0" fontId="20" fillId="6" borderId="0" xfId="0" applyFont="1" applyFill="1" applyAlignment="1">
      <alignment horizontal="center"/>
    </xf>
    <xf numFmtId="0" fontId="41" fillId="0" borderId="0" xfId="0" applyFont="1" applyAlignment="1">
      <alignment horizontal="center"/>
    </xf>
    <xf numFmtId="0" fontId="10" fillId="0" borderId="0" xfId="0" applyFont="1" applyAlignment="1">
      <alignment horizontal="left" vertical="center"/>
    </xf>
    <xf numFmtId="0" fontId="2" fillId="0" borderId="5" xfId="0" applyFont="1" applyBorder="1" applyAlignment="1">
      <alignment horizontal="left" wrapText="1"/>
    </xf>
    <xf numFmtId="0" fontId="10" fillId="0" borderId="14" xfId="0" applyFont="1" applyBorder="1" applyAlignment="1">
      <alignment horizontal="left" vertical="top" wrapText="1"/>
    </xf>
    <xf numFmtId="0" fontId="5" fillId="0" borderId="14" xfId="0" applyFont="1" applyBorder="1" applyAlignment="1">
      <alignment horizontal="left" vertical="top" wrapText="1"/>
    </xf>
    <xf numFmtId="0" fontId="5" fillId="0" borderId="5" xfId="0" applyFont="1" applyBorder="1" applyAlignment="1">
      <alignment vertical="center" wrapText="1"/>
    </xf>
    <xf numFmtId="0" fontId="5" fillId="0" borderId="7" xfId="0" applyFont="1" applyBorder="1" applyAlignment="1">
      <alignment horizontal="left" vertical="top" wrapText="1"/>
    </xf>
    <xf numFmtId="0" fontId="2" fillId="0" borderId="14" xfId="0" applyFont="1" applyBorder="1" applyAlignment="1">
      <alignment horizontal="left" vertical="top" wrapText="1"/>
    </xf>
    <xf numFmtId="0" fontId="27" fillId="7" borderId="3" xfId="0" applyFont="1" applyFill="1" applyBorder="1" applyAlignment="1">
      <alignment horizontal="left" vertical="center"/>
    </xf>
    <xf numFmtId="0" fontId="46" fillId="0" borderId="3" xfId="0" applyFont="1" applyBorder="1" applyAlignment="1">
      <alignment horizontal="justify" vertical="top" wrapText="1"/>
    </xf>
    <xf numFmtId="0" fontId="47" fillId="0" borderId="5" xfId="0" applyFont="1" applyBorder="1" applyAlignment="1">
      <alignment horizontal="left" wrapText="1"/>
    </xf>
    <xf numFmtId="0" fontId="22" fillId="0" borderId="5" xfId="0" applyFont="1" applyBorder="1" applyAlignment="1">
      <alignment horizontal="justify" vertical="top" wrapText="1"/>
    </xf>
    <xf numFmtId="0" fontId="22" fillId="5" borderId="5" xfId="0" applyFont="1" applyFill="1" applyBorder="1" applyAlignment="1">
      <alignment horizontal="justify" vertical="top" wrapText="1"/>
    </xf>
    <xf numFmtId="0" fontId="22" fillId="0" borderId="5" xfId="0" applyFont="1" applyBorder="1" applyAlignment="1">
      <alignment horizontal="left" vertical="top" wrapText="1"/>
    </xf>
    <xf numFmtId="0" fontId="22" fillId="5" borderId="5" xfId="0" applyFont="1" applyFill="1" applyBorder="1" applyAlignment="1">
      <alignment horizontal="left" vertical="top" wrapText="1"/>
    </xf>
    <xf numFmtId="0" fontId="49" fillId="5" borderId="5" xfId="0" applyFont="1" applyFill="1" applyBorder="1" applyAlignment="1">
      <alignment horizontal="left" wrapText="1"/>
    </xf>
    <xf numFmtId="0" fontId="22" fillId="5" borderId="0" xfId="0" applyFont="1" applyFill="1" applyAlignment="1">
      <alignment horizontal="left" vertical="top" wrapText="1"/>
    </xf>
    <xf numFmtId="0" fontId="49" fillId="0" borderId="5" xfId="0" applyFont="1" applyBorder="1" applyAlignment="1">
      <alignment horizontal="left" vertical="center" wrapText="1"/>
    </xf>
    <xf numFmtId="0" fontId="49" fillId="0" borderId="5" xfId="0" applyFont="1" applyBorder="1" applyAlignment="1">
      <alignment horizontal="left" wrapText="1"/>
    </xf>
    <xf numFmtId="0" fontId="46" fillId="0" borderId="5" xfId="0" applyFont="1" applyBorder="1" applyAlignment="1">
      <alignment horizontal="justify" vertical="top" wrapText="1"/>
    </xf>
    <xf numFmtId="0" fontId="56" fillId="0" borderId="5" xfId="0" applyFont="1" applyBorder="1" applyAlignment="1">
      <alignment horizontal="left" wrapText="1"/>
    </xf>
    <xf numFmtId="0" fontId="50" fillId="0" borderId="0" xfId="0" applyFont="1" applyAlignment="1">
      <alignment horizontal="left" vertical="top" wrapText="1"/>
    </xf>
    <xf numFmtId="0" fontId="50" fillId="0" borderId="0" xfId="0" applyFont="1" applyAlignment="1">
      <alignment horizontal="left" vertical="top"/>
    </xf>
    <xf numFmtId="0" fontId="49" fillId="0" borderId="0" xfId="0" applyFont="1" applyAlignment="1">
      <alignment horizontal="left" vertical="top"/>
    </xf>
    <xf numFmtId="0" fontId="22" fillId="0" borderId="5" xfId="0" applyFont="1" applyBorder="1" applyAlignment="1">
      <alignment horizontal="left" vertical="center" wrapText="1"/>
    </xf>
    <xf numFmtId="0" fontId="31" fillId="0" borderId="0" xfId="0" applyFont="1" applyAlignment="1">
      <alignment horizontal="left" wrapText="1"/>
    </xf>
    <xf numFmtId="0" fontId="22" fillId="0" borderId="5" xfId="0" applyFont="1" applyBorder="1" applyAlignment="1">
      <alignment vertical="center" wrapText="1"/>
    </xf>
    <xf numFmtId="0" fontId="49" fillId="0" borderId="5" xfId="0" applyFont="1" applyBorder="1" applyAlignment="1">
      <alignment horizontal="justify" vertical="top" wrapText="1"/>
    </xf>
    <xf numFmtId="0" fontId="49" fillId="0" borderId="4" xfId="0" applyFont="1" applyBorder="1" applyAlignment="1">
      <alignment horizontal="left" vertical="top"/>
    </xf>
    <xf numFmtId="0" fontId="46" fillId="5" borderId="5" xfId="0" applyFont="1" applyFill="1" applyBorder="1" applyAlignment="1">
      <alignment horizontal="left" vertical="top" wrapText="1"/>
    </xf>
    <xf numFmtId="0" fontId="22" fillId="5" borderId="8" xfId="0" applyFont="1" applyFill="1" applyBorder="1" applyAlignment="1">
      <alignment horizontal="left" wrapText="1"/>
    </xf>
    <xf numFmtId="0" fontId="22" fillId="0" borderId="5" xfId="0" applyFont="1" applyBorder="1" applyAlignment="1">
      <alignment horizontal="justify" wrapText="1"/>
    </xf>
    <xf numFmtId="0" fontId="49" fillId="0" borderId="5" xfId="0" applyFont="1" applyBorder="1" applyAlignment="1">
      <alignment horizontal="justify" vertical="center" wrapText="1"/>
    </xf>
    <xf numFmtId="0" fontId="50" fillId="0" borderId="5" xfId="0" applyFont="1" applyBorder="1" applyAlignment="1">
      <alignment horizontal="left" vertical="top" wrapText="1"/>
    </xf>
    <xf numFmtId="0" fontId="27" fillId="7" borderId="0" xfId="0" applyFont="1" applyFill="1" applyAlignment="1">
      <alignment horizontal="left"/>
    </xf>
    <xf numFmtId="0" fontId="61" fillId="5" borderId="0" xfId="0" applyFont="1" applyFill="1" applyAlignment="1">
      <alignment horizontal="center"/>
    </xf>
    <xf numFmtId="0" fontId="22" fillId="5" borderId="9" xfId="0" applyFont="1" applyFill="1" applyBorder="1" applyAlignment="1">
      <alignment horizontal="center"/>
    </xf>
    <xf numFmtId="0" fontId="27" fillId="5" borderId="0" xfId="0" applyFont="1" applyFill="1" applyAlignment="1">
      <alignment horizontal="center" vertical="center"/>
    </xf>
    <xf numFmtId="178" fontId="5" fillId="5" borderId="0" xfId="0" applyNumberFormat="1" applyFont="1" applyFill="1" applyAlignment="1">
      <alignment horizontal="center"/>
    </xf>
    <xf numFmtId="0" fontId="27" fillId="7"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51" fillId="7" borderId="9" xfId="124" applyFont="1" applyFill="1" applyBorder="1" applyAlignment="1">
      <alignment horizontal="left" vertical="center"/>
    </xf>
    <xf numFmtId="0" fontId="51" fillId="7" borderId="19" xfId="124" applyFont="1" applyFill="1" applyBorder="1" applyAlignment="1">
      <alignment horizontal="center" vertical="center" wrapText="1"/>
    </xf>
    <xf numFmtId="0" fontId="10" fillId="0" borderId="0" xfId="0" applyFont="1" applyAlignment="1">
      <alignment horizontal="left"/>
    </xf>
    <xf numFmtId="0" fontId="60" fillId="5" borderId="0" xfId="0" applyFont="1" applyFill="1" applyAlignment="1">
      <alignment horizontal="left"/>
    </xf>
    <xf numFmtId="0" fontId="0" fillId="5" borderId="0" xfId="0" applyFill="1" applyAlignment="1">
      <alignment horizontal="center"/>
    </xf>
    <xf numFmtId="0" fontId="60" fillId="5" borderId="0" xfId="0" applyFont="1" applyFill="1" applyAlignment="1">
      <alignment horizontal="center"/>
    </xf>
    <xf numFmtId="0" fontId="76" fillId="5" borderId="0" xfId="0" applyFont="1" applyFill="1" applyAlignment="1">
      <alignment horizontal="left" wrapText="1"/>
    </xf>
    <xf numFmtId="0" fontId="63" fillId="7" borderId="24" xfId="0" applyFont="1" applyFill="1" applyBorder="1" applyAlignment="1">
      <alignment horizontal="center" vertical="center"/>
    </xf>
    <xf numFmtId="178" fontId="5" fillId="5" borderId="0" xfId="2" applyFont="1" applyFill="1" applyBorder="1" applyAlignment="1" applyProtection="1">
      <alignment horizontal="center"/>
    </xf>
    <xf numFmtId="178" fontId="22" fillId="5" borderId="0" xfId="2" applyFont="1" applyFill="1" applyBorder="1" applyAlignment="1" applyProtection="1">
      <alignment horizontal="left"/>
    </xf>
    <xf numFmtId="0" fontId="5" fillId="5" borderId="0" xfId="0" applyFont="1" applyFill="1" applyAlignment="1">
      <alignment horizontal="left"/>
    </xf>
    <xf numFmtId="0" fontId="79" fillId="5" borderId="0" xfId="0" applyFont="1" applyFill="1" applyAlignment="1">
      <alignment horizontal="left" vertical="center" wrapText="1"/>
    </xf>
    <xf numFmtId="0" fontId="62" fillId="5" borderId="0" xfId="0" applyFont="1" applyFill="1" applyAlignment="1">
      <alignment horizontal="left"/>
    </xf>
    <xf numFmtId="0" fontId="79" fillId="0" borderId="0" xfId="0" applyFont="1" applyAlignment="1">
      <alignment horizontal="left" vertical="center" wrapText="1"/>
    </xf>
    <xf numFmtId="0" fontId="79" fillId="5" borderId="0" xfId="0" applyFont="1" applyFill="1" applyAlignment="1">
      <alignment horizontal="left" wrapText="1"/>
    </xf>
    <xf numFmtId="0" fontId="72" fillId="5" borderId="0" xfId="0" applyFont="1" applyFill="1" applyAlignment="1">
      <alignment horizontal="left" vertical="center"/>
    </xf>
    <xf numFmtId="0" fontId="63" fillId="7" borderId="0" xfId="0" applyFont="1" applyFill="1" applyAlignment="1">
      <alignment horizontal="left"/>
    </xf>
    <xf numFmtId="0" fontId="72" fillId="5" borderId="0" xfId="0" applyFont="1" applyFill="1" applyAlignment="1">
      <alignment horizontal="left" vertical="center" wrapText="1"/>
    </xf>
    <xf numFmtId="0" fontId="83" fillId="5" borderId="0" xfId="0" applyFont="1" applyFill="1" applyAlignment="1">
      <alignment horizontal="left" vertical="top" wrapText="1"/>
    </xf>
    <xf numFmtId="0" fontId="85" fillId="5" borderId="0" xfId="0" applyFont="1" applyFill="1" applyAlignment="1">
      <alignment horizontal="left" vertical="top" wrapText="1"/>
    </xf>
    <xf numFmtId="0" fontId="86" fillId="5" borderId="0" xfId="0" applyFont="1" applyFill="1" applyAlignment="1">
      <alignment horizontal="left" vertical="top" wrapText="1"/>
    </xf>
    <xf numFmtId="0" fontId="91" fillId="0" borderId="9" xfId="0" applyFont="1" applyBorder="1" applyAlignment="1">
      <alignment horizontal="center" vertical="center"/>
    </xf>
    <xf numFmtId="0" fontId="91" fillId="0" borderId="9" xfId="0" applyFont="1" applyBorder="1" applyAlignment="1">
      <alignment vertical="center"/>
    </xf>
    <xf numFmtId="0" fontId="91" fillId="0" borderId="9" xfId="0" applyFont="1" applyBorder="1" applyAlignment="1">
      <alignment horizontal="left" vertical="center"/>
    </xf>
    <xf numFmtId="0" fontId="91" fillId="5" borderId="9" xfId="0" applyFont="1" applyFill="1" applyBorder="1" applyAlignment="1">
      <alignment horizontal="left" vertical="center" wrapText="1"/>
    </xf>
    <xf numFmtId="0" fontId="87" fillId="5" borderId="9" xfId="0" applyFont="1" applyFill="1" applyBorder="1" applyAlignment="1">
      <alignment horizontal="left" vertical="top" wrapText="1"/>
    </xf>
    <xf numFmtId="0" fontId="87" fillId="5" borderId="9" xfId="0" applyFont="1" applyFill="1" applyBorder="1" applyAlignment="1">
      <alignment horizontal="center" vertical="top" wrapText="1"/>
    </xf>
    <xf numFmtId="0" fontId="88" fillId="5" borderId="9" xfId="0" applyFont="1" applyFill="1" applyBorder="1" applyAlignment="1">
      <alignment horizontal="center" vertical="center" wrapText="1"/>
    </xf>
    <xf numFmtId="0" fontId="91" fillId="5" borderId="9" xfId="0" applyFont="1" applyFill="1" applyBorder="1" applyAlignment="1">
      <alignment horizontal="left" vertical="top" wrapText="1"/>
    </xf>
    <xf numFmtId="0" fontId="87" fillId="5" borderId="2" xfId="0" applyFont="1" applyFill="1" applyBorder="1" applyAlignment="1">
      <alignment horizontal="left" vertical="top" wrapText="1"/>
    </xf>
    <xf numFmtId="187" fontId="12" fillId="0" borderId="0" xfId="0" applyNumberFormat="1" applyFont="1" applyBorder="1" applyAlignment="1">
      <alignment horizontal="right"/>
    </xf>
  </cellXfs>
  <cellStyles count="301">
    <cellStyle name="Comma 4 2" xfId="4" xr:uid="{00000000-0005-0000-0000-000006000000}"/>
    <cellStyle name="Comma 4 2 2" xfId="5" xr:uid="{00000000-0005-0000-0000-000007000000}"/>
    <cellStyle name="Comma 4 2 2 2" xfId="6" xr:uid="{00000000-0005-0000-0000-000008000000}"/>
    <cellStyle name="Comma 4 2 3" xfId="7" xr:uid="{00000000-0005-0000-0000-000009000000}"/>
    <cellStyle name="Euro" xfId="8" xr:uid="{00000000-0005-0000-0000-00000A000000}"/>
    <cellStyle name="Euro 2" xfId="9" xr:uid="{00000000-0005-0000-0000-00000B000000}"/>
    <cellStyle name="Excel Built-in Comma [0] 1" xfId="276" xr:uid="{00000000-0005-0000-0000-000017010000}"/>
    <cellStyle name="Excel Built-in Comma [0] 1 2" xfId="282" xr:uid="{09ED2566-0EFC-4CB7-B125-DD37BBAB8BF7}"/>
    <cellStyle name="Excel Built-in Comma [0] 2" xfId="275" xr:uid="{00000000-0005-0000-0000-000016010000}"/>
    <cellStyle name="Excel Built-in Comma [0] 2 2" xfId="281" xr:uid="{1A46E60F-A3DA-460E-A67C-253856D75F11}"/>
    <cellStyle name="Excel Built-in Comma [0] 3" xfId="280" xr:uid="{1401C410-44D6-4596-9A00-4559D38AE4AA}"/>
    <cellStyle name="Excel Built-in Comma [0] 5" xfId="277" xr:uid="{00000000-0005-0000-0000-000018010000}"/>
    <cellStyle name="Excel Built-in Explanatory Text" xfId="283" xr:uid="{A398C62C-F59B-4076-85C0-410C7AAADA7D}"/>
    <cellStyle name="Hipervínculo" xfId="3" builtinId="8"/>
    <cellStyle name="Millares" xfId="1" builtinId="3"/>
    <cellStyle name="Millares [0] 10" xfId="81" xr:uid="{00000000-0005-0000-0000-000053000000}"/>
    <cellStyle name="Millares [0] 10 2" xfId="82" xr:uid="{00000000-0005-0000-0000-000054000000}"/>
    <cellStyle name="Millares [0] 10 2 2" xfId="83" xr:uid="{00000000-0005-0000-0000-000055000000}"/>
    <cellStyle name="Millares [0] 10 3" xfId="84" xr:uid="{00000000-0005-0000-0000-000056000000}"/>
    <cellStyle name="Millares [0] 11" xfId="85" xr:uid="{00000000-0005-0000-0000-000057000000}"/>
    <cellStyle name="Millares [0] 11 2" xfId="300" xr:uid="{B99BB4E2-DDE8-4313-9E8A-43AB622A05CD}"/>
    <cellStyle name="Millares [0] 2" xfId="86" xr:uid="{00000000-0005-0000-0000-000058000000}"/>
    <cellStyle name="Millares [0] 2 2" xfId="87" xr:uid="{00000000-0005-0000-0000-000059000000}"/>
    <cellStyle name="Millares [0] 2 2 2" xfId="88" xr:uid="{00000000-0005-0000-0000-00005A000000}"/>
    <cellStyle name="Millares [0] 2 2 3" xfId="89" xr:uid="{00000000-0005-0000-0000-00005B000000}"/>
    <cellStyle name="Millares [0] 2 2 4" xfId="90" xr:uid="{00000000-0005-0000-0000-00005C000000}"/>
    <cellStyle name="Millares [0] 2 2 4 2" xfId="91" xr:uid="{00000000-0005-0000-0000-00005D000000}"/>
    <cellStyle name="Millares [0] 2 2 4 2 2" xfId="287" xr:uid="{F6D58DFC-4787-4B32-93B9-033F9E4F1421}"/>
    <cellStyle name="Millares [0] 2 2 5" xfId="92" xr:uid="{00000000-0005-0000-0000-00005E000000}"/>
    <cellStyle name="Millares [0] 2 3" xfId="93" xr:uid="{00000000-0005-0000-0000-00005F000000}"/>
    <cellStyle name="Millares [0] 2 4" xfId="94" xr:uid="{00000000-0005-0000-0000-000060000000}"/>
    <cellStyle name="Millares [0] 2 5" xfId="95" xr:uid="{00000000-0005-0000-0000-000061000000}"/>
    <cellStyle name="Millares [0] 3" xfId="96" xr:uid="{00000000-0005-0000-0000-000062000000}"/>
    <cellStyle name="Millares [0] 3 2" xfId="97" xr:uid="{00000000-0005-0000-0000-000063000000}"/>
    <cellStyle name="Millares [0] 3 2 2" xfId="98" xr:uid="{00000000-0005-0000-0000-000064000000}"/>
    <cellStyle name="Millares [0] 3 2 3" xfId="99" xr:uid="{00000000-0005-0000-0000-000065000000}"/>
    <cellStyle name="Millares [0] 3 3" xfId="100" xr:uid="{00000000-0005-0000-0000-000066000000}"/>
    <cellStyle name="Millares [0] 3 4" xfId="101" xr:uid="{00000000-0005-0000-0000-000067000000}"/>
    <cellStyle name="Millares [0] 4" xfId="102" xr:uid="{00000000-0005-0000-0000-000068000000}"/>
    <cellStyle name="Millares [0] 4 2" xfId="103" xr:uid="{00000000-0005-0000-0000-000069000000}"/>
    <cellStyle name="Millares [0] 4 3" xfId="104" xr:uid="{00000000-0005-0000-0000-00006A000000}"/>
    <cellStyle name="Millares [0] 4 4" xfId="105" xr:uid="{00000000-0005-0000-0000-00006B000000}"/>
    <cellStyle name="Millares [0] 5" xfId="106" xr:uid="{00000000-0005-0000-0000-00006C000000}"/>
    <cellStyle name="Millares [0] 5 2" xfId="107" xr:uid="{00000000-0005-0000-0000-00006D000000}"/>
    <cellStyle name="Millares [0] 5 3" xfId="108" xr:uid="{00000000-0005-0000-0000-00006E000000}"/>
    <cellStyle name="Millares [0] 6" xfId="109" xr:uid="{00000000-0005-0000-0000-00006F000000}"/>
    <cellStyle name="Millares [0] 6 2" xfId="110" xr:uid="{00000000-0005-0000-0000-000070000000}"/>
    <cellStyle name="Millares [0] 6 2 2" xfId="111" xr:uid="{00000000-0005-0000-0000-000071000000}"/>
    <cellStyle name="Millares [0] 6 3" xfId="112" xr:uid="{00000000-0005-0000-0000-000072000000}"/>
    <cellStyle name="Millares [0] 6 4" xfId="113" xr:uid="{00000000-0005-0000-0000-000073000000}"/>
    <cellStyle name="Millares [0] 6 5" xfId="114" xr:uid="{00000000-0005-0000-0000-000074000000}"/>
    <cellStyle name="Millares [0] 7" xfId="115" xr:uid="{00000000-0005-0000-0000-000075000000}"/>
    <cellStyle name="Millares [0] 7 2" xfId="116" xr:uid="{00000000-0005-0000-0000-000076000000}"/>
    <cellStyle name="Millares [0] 7 3" xfId="117" xr:uid="{00000000-0005-0000-0000-000077000000}"/>
    <cellStyle name="Millares [0] 8" xfId="118" xr:uid="{00000000-0005-0000-0000-000078000000}"/>
    <cellStyle name="Millares [0] 8 2" xfId="119" xr:uid="{00000000-0005-0000-0000-000079000000}"/>
    <cellStyle name="Millares [0] 8 2 2" xfId="120" xr:uid="{00000000-0005-0000-0000-00007A000000}"/>
    <cellStyle name="Millares [0] 8 2 2 2" xfId="286" xr:uid="{0EDB9DE8-612A-409D-A1A2-E8E15E866022}"/>
    <cellStyle name="Millares [0] 8 3" xfId="121" xr:uid="{00000000-0005-0000-0000-00007B000000}"/>
    <cellStyle name="Millares [0] 9" xfId="122" xr:uid="{00000000-0005-0000-0000-00007C000000}"/>
    <cellStyle name="Millares 10" xfId="10" xr:uid="{00000000-0005-0000-0000-00000C000000}"/>
    <cellStyle name="Millares 10 2" xfId="11" xr:uid="{00000000-0005-0000-0000-00000D000000}"/>
    <cellStyle name="Millares 100 11" xfId="12" xr:uid="{00000000-0005-0000-0000-00000E000000}"/>
    <cellStyle name="Millares 100 11 2" xfId="13" xr:uid="{00000000-0005-0000-0000-00000F000000}"/>
    <cellStyle name="Millares 100 11 2 2" xfId="14" xr:uid="{00000000-0005-0000-0000-000010000000}"/>
    <cellStyle name="Millares 100 11 3" xfId="15" xr:uid="{00000000-0005-0000-0000-000011000000}"/>
    <cellStyle name="Millares 11" xfId="16" xr:uid="{00000000-0005-0000-0000-000012000000}"/>
    <cellStyle name="Millares 11 2" xfId="17" xr:uid="{00000000-0005-0000-0000-000013000000}"/>
    <cellStyle name="Millares 12" xfId="18" xr:uid="{00000000-0005-0000-0000-000014000000}"/>
    <cellStyle name="Millares 12 2" xfId="19" xr:uid="{00000000-0005-0000-0000-000015000000}"/>
    <cellStyle name="Millares 13" xfId="20" xr:uid="{00000000-0005-0000-0000-000016000000}"/>
    <cellStyle name="Millares 13 2" xfId="21" xr:uid="{00000000-0005-0000-0000-000017000000}"/>
    <cellStyle name="Millares 14" xfId="22" xr:uid="{00000000-0005-0000-0000-000018000000}"/>
    <cellStyle name="Millares 15" xfId="23" xr:uid="{00000000-0005-0000-0000-000019000000}"/>
    <cellStyle name="Millares 16" xfId="24" xr:uid="{00000000-0005-0000-0000-00001A000000}"/>
    <cellStyle name="Millares 17" xfId="25" xr:uid="{00000000-0005-0000-0000-00001B000000}"/>
    <cellStyle name="Millares 174 2" xfId="26" xr:uid="{00000000-0005-0000-0000-00001C000000}"/>
    <cellStyle name="Millares 174 2 2" xfId="27" xr:uid="{00000000-0005-0000-0000-00001D000000}"/>
    <cellStyle name="Millares 174 2 2 2" xfId="28" xr:uid="{00000000-0005-0000-0000-00001E000000}"/>
    <cellStyle name="Millares 174 2 3" xfId="29" xr:uid="{00000000-0005-0000-0000-00001F000000}"/>
    <cellStyle name="Millares 2" xfId="30" xr:uid="{00000000-0005-0000-0000-000020000000}"/>
    <cellStyle name="Millares 2 2" xfId="31" xr:uid="{00000000-0005-0000-0000-000021000000}"/>
    <cellStyle name="Millares 2 2 2" xfId="32" xr:uid="{00000000-0005-0000-0000-000022000000}"/>
    <cellStyle name="Millares 2 2 2 2" xfId="33" xr:uid="{00000000-0005-0000-0000-000023000000}"/>
    <cellStyle name="Millares 2 2 3" xfId="34" xr:uid="{00000000-0005-0000-0000-000024000000}"/>
    <cellStyle name="Millares 2 3" xfId="35" xr:uid="{00000000-0005-0000-0000-000025000000}"/>
    <cellStyle name="Millares 2 3 2" xfId="36" xr:uid="{00000000-0005-0000-0000-000026000000}"/>
    <cellStyle name="Millares 2 4" xfId="37" xr:uid="{00000000-0005-0000-0000-000027000000}"/>
    <cellStyle name="Millares 2 4 2" xfId="38" xr:uid="{00000000-0005-0000-0000-000028000000}"/>
    <cellStyle name="Millares 2 5" xfId="39" xr:uid="{00000000-0005-0000-0000-000029000000}"/>
    <cellStyle name="Millares 2 5 2" xfId="40" xr:uid="{00000000-0005-0000-0000-00002A000000}"/>
    <cellStyle name="Millares 2 5 2 2" xfId="41" xr:uid="{00000000-0005-0000-0000-00002B000000}"/>
    <cellStyle name="Millares 2 5 2 2 2" xfId="288" xr:uid="{9F4D5AB0-202D-44F1-ABD7-66B319A07C9F}"/>
    <cellStyle name="Millares 2 5 3" xfId="42" xr:uid="{00000000-0005-0000-0000-00002C000000}"/>
    <cellStyle name="Millares 2 6" xfId="43" xr:uid="{00000000-0005-0000-0000-00002D000000}"/>
    <cellStyle name="Millares 212" xfId="44" xr:uid="{00000000-0005-0000-0000-00002E000000}"/>
    <cellStyle name="Millares 212 2" xfId="45" xr:uid="{00000000-0005-0000-0000-00002F000000}"/>
    <cellStyle name="Millares 212 2 2" xfId="46" xr:uid="{00000000-0005-0000-0000-000030000000}"/>
    <cellStyle name="Millares 212 3" xfId="47" xr:uid="{00000000-0005-0000-0000-000031000000}"/>
    <cellStyle name="Millares 3" xfId="48" xr:uid="{00000000-0005-0000-0000-000032000000}"/>
    <cellStyle name="Millares 3 11" xfId="49" xr:uid="{00000000-0005-0000-0000-000033000000}"/>
    <cellStyle name="Millares 3 11 2" xfId="50" xr:uid="{00000000-0005-0000-0000-000034000000}"/>
    <cellStyle name="Millares 3 11 2 2" xfId="51" xr:uid="{00000000-0005-0000-0000-000035000000}"/>
    <cellStyle name="Millares 3 11 3" xfId="52" xr:uid="{00000000-0005-0000-0000-000036000000}"/>
    <cellStyle name="Millares 3 2" xfId="53" xr:uid="{00000000-0005-0000-0000-000037000000}"/>
    <cellStyle name="Millares 3 2 2" xfId="54" xr:uid="{00000000-0005-0000-0000-000038000000}"/>
    <cellStyle name="Millares 3 2 2 2" xfId="55" xr:uid="{00000000-0005-0000-0000-000039000000}"/>
    <cellStyle name="Millares 3 2 2 2 2" xfId="289" xr:uid="{EAC56D89-443C-4961-9E62-C8E3453B5071}"/>
    <cellStyle name="Millares 3 2 3" xfId="56" xr:uid="{00000000-0005-0000-0000-00003A000000}"/>
    <cellStyle name="Millares 3 3" xfId="57" xr:uid="{00000000-0005-0000-0000-00003B000000}"/>
    <cellStyle name="Millares 4" xfId="58" xr:uid="{00000000-0005-0000-0000-00003C000000}"/>
    <cellStyle name="Millares 4 2" xfId="59" xr:uid="{00000000-0005-0000-0000-00003D000000}"/>
    <cellStyle name="Millares 5" xfId="60" xr:uid="{00000000-0005-0000-0000-00003E000000}"/>
    <cellStyle name="Millares 5 2" xfId="61" xr:uid="{00000000-0005-0000-0000-00003F000000}"/>
    <cellStyle name="Millares 5 3" xfId="62" xr:uid="{00000000-0005-0000-0000-000040000000}"/>
    <cellStyle name="Millares 6" xfId="63" xr:uid="{00000000-0005-0000-0000-000041000000}"/>
    <cellStyle name="Millares 6 2" xfId="64" xr:uid="{00000000-0005-0000-0000-000042000000}"/>
    <cellStyle name="Millares 654 2 2" xfId="65" xr:uid="{00000000-0005-0000-0000-000043000000}"/>
    <cellStyle name="Millares 654 2 2 2" xfId="66" xr:uid="{00000000-0005-0000-0000-000044000000}"/>
    <cellStyle name="Millares 656" xfId="67" xr:uid="{00000000-0005-0000-0000-000045000000}"/>
    <cellStyle name="Millares 656 2" xfId="68" xr:uid="{00000000-0005-0000-0000-000046000000}"/>
    <cellStyle name="Millares 656 2 2" xfId="69" xr:uid="{00000000-0005-0000-0000-000047000000}"/>
    <cellStyle name="Millares 656 3" xfId="70" xr:uid="{00000000-0005-0000-0000-000048000000}"/>
    <cellStyle name="Millares 657" xfId="71" xr:uid="{00000000-0005-0000-0000-000049000000}"/>
    <cellStyle name="Millares 657 2" xfId="72" xr:uid="{00000000-0005-0000-0000-00004A000000}"/>
    <cellStyle name="Millares 657 2 2" xfId="73" xr:uid="{00000000-0005-0000-0000-00004B000000}"/>
    <cellStyle name="Millares 657 3" xfId="74" xr:uid="{00000000-0005-0000-0000-00004C000000}"/>
    <cellStyle name="Millares 7" xfId="75" xr:uid="{00000000-0005-0000-0000-00004D000000}"/>
    <cellStyle name="Millares 7 2" xfId="76" xr:uid="{00000000-0005-0000-0000-00004E000000}"/>
    <cellStyle name="Millares 8" xfId="77" xr:uid="{00000000-0005-0000-0000-00004F000000}"/>
    <cellStyle name="Millares 8 2" xfId="78" xr:uid="{00000000-0005-0000-0000-000050000000}"/>
    <cellStyle name="Millares 9" xfId="79" xr:uid="{00000000-0005-0000-0000-000051000000}"/>
    <cellStyle name="Millares 9 2" xfId="80" xr:uid="{00000000-0005-0000-0000-000052000000}"/>
    <cellStyle name="Normal" xfId="0" builtinId="0"/>
    <cellStyle name="Normal 10" xfId="123" xr:uid="{00000000-0005-0000-0000-00007D000000}"/>
    <cellStyle name="Normal 10 10 2 2 2" xfId="124" xr:uid="{00000000-0005-0000-0000-00007E000000}"/>
    <cellStyle name="Normal 10 2" xfId="125" xr:uid="{00000000-0005-0000-0000-00007F000000}"/>
    <cellStyle name="Normal 10 2 2" xfId="126" xr:uid="{00000000-0005-0000-0000-000080000000}"/>
    <cellStyle name="Normal 10 2 2 2" xfId="127" xr:uid="{00000000-0005-0000-0000-000081000000}"/>
    <cellStyle name="Normal 10 2 2 2 2" xfId="290" xr:uid="{9A7ACA64-42F4-4E90-B207-2712AF0A31AE}"/>
    <cellStyle name="Normal 10 2 3" xfId="128" xr:uid="{00000000-0005-0000-0000-000082000000}"/>
    <cellStyle name="Normal 1016" xfId="129" xr:uid="{00000000-0005-0000-0000-000083000000}"/>
    <cellStyle name="Normal 1018" xfId="130" xr:uid="{00000000-0005-0000-0000-000084000000}"/>
    <cellStyle name="Normal 1022" xfId="131" xr:uid="{00000000-0005-0000-0000-000085000000}"/>
    <cellStyle name="Normal 1024" xfId="132" xr:uid="{00000000-0005-0000-0000-000086000000}"/>
    <cellStyle name="Normal 1025" xfId="133" xr:uid="{00000000-0005-0000-0000-000087000000}"/>
    <cellStyle name="Normal 1026" xfId="134" xr:uid="{00000000-0005-0000-0000-000088000000}"/>
    <cellStyle name="Normal 1027" xfId="135" xr:uid="{00000000-0005-0000-0000-000089000000}"/>
    <cellStyle name="Normal 105" xfId="136" xr:uid="{00000000-0005-0000-0000-00008A000000}"/>
    <cellStyle name="Normal 107" xfId="137" xr:uid="{00000000-0005-0000-0000-00008B000000}"/>
    <cellStyle name="Normal 109" xfId="138" xr:uid="{00000000-0005-0000-0000-00008C000000}"/>
    <cellStyle name="Normal 11" xfId="139" xr:uid="{00000000-0005-0000-0000-00008D000000}"/>
    <cellStyle name="Normal 11 2" xfId="140" xr:uid="{00000000-0005-0000-0000-00008E000000}"/>
    <cellStyle name="Normal 11 2 2" xfId="141" xr:uid="{00000000-0005-0000-0000-00008F000000}"/>
    <cellStyle name="Normal 11 2 2 2" xfId="284" xr:uid="{B460D82F-470D-418D-A141-CDCF0B5141C6}"/>
    <cellStyle name="Normal 11 3" xfId="142" xr:uid="{00000000-0005-0000-0000-000090000000}"/>
    <cellStyle name="Normal 12" xfId="143" xr:uid="{00000000-0005-0000-0000-000091000000}"/>
    <cellStyle name="Normal 12 10" xfId="144" xr:uid="{00000000-0005-0000-0000-000092000000}"/>
    <cellStyle name="Normal 12 2" xfId="145" xr:uid="{00000000-0005-0000-0000-000093000000}"/>
    <cellStyle name="Normal 12 2 10" xfId="146" xr:uid="{00000000-0005-0000-0000-000094000000}"/>
    <cellStyle name="Normal 12 2 2" xfId="147" xr:uid="{00000000-0005-0000-0000-000095000000}"/>
    <cellStyle name="Normal 12 2 2 2" xfId="285" xr:uid="{0BDDA9F8-3F20-4C12-9994-A9C8F52E158B}"/>
    <cellStyle name="Normal 12 2 2 4" xfId="148" xr:uid="{00000000-0005-0000-0000-000096000000}"/>
    <cellStyle name="Normal 12 3" xfId="149" xr:uid="{00000000-0005-0000-0000-000097000000}"/>
    <cellStyle name="Normal 125" xfId="150" xr:uid="{00000000-0005-0000-0000-000098000000}"/>
    <cellStyle name="Normal 126" xfId="151" xr:uid="{00000000-0005-0000-0000-000099000000}"/>
    <cellStyle name="Normal 13" xfId="152" xr:uid="{00000000-0005-0000-0000-00009A000000}"/>
    <cellStyle name="Normal 15 20 3" xfId="153" xr:uid="{00000000-0005-0000-0000-00009B000000}"/>
    <cellStyle name="Normal 199 2 2" xfId="154" xr:uid="{00000000-0005-0000-0000-00009C000000}"/>
    <cellStyle name="Normal 2" xfId="155" xr:uid="{00000000-0005-0000-0000-00009D000000}"/>
    <cellStyle name="Normal 2 10 2 2 2" xfId="156" xr:uid="{00000000-0005-0000-0000-00009E000000}"/>
    <cellStyle name="Normal 2 2" xfId="157" xr:uid="{00000000-0005-0000-0000-00009F000000}"/>
    <cellStyle name="Normal 2 2 2" xfId="158" xr:uid="{00000000-0005-0000-0000-0000A0000000}"/>
    <cellStyle name="Normal 2 2 2 2" xfId="159" xr:uid="{00000000-0005-0000-0000-0000A1000000}"/>
    <cellStyle name="Normal 2 2 2 2 2" xfId="160" xr:uid="{00000000-0005-0000-0000-0000A2000000}"/>
    <cellStyle name="Normal 2 2 2 2 2 2" xfId="292" xr:uid="{B24B2345-A432-4929-8AB7-E5D26CC89CD9}"/>
    <cellStyle name="Normal 2 2 2 3" xfId="161" xr:uid="{00000000-0005-0000-0000-0000A3000000}"/>
    <cellStyle name="Normal 2 2 2 4" xfId="162" xr:uid="{00000000-0005-0000-0000-0000A4000000}"/>
    <cellStyle name="Normal 2 3" xfId="163" xr:uid="{00000000-0005-0000-0000-0000A5000000}"/>
    <cellStyle name="Normal 2 4" xfId="164" xr:uid="{00000000-0005-0000-0000-0000A6000000}"/>
    <cellStyle name="Normal 2 5" xfId="165" xr:uid="{00000000-0005-0000-0000-0000A7000000}"/>
    <cellStyle name="Normal 2 5 2" xfId="166" xr:uid="{00000000-0005-0000-0000-0000A8000000}"/>
    <cellStyle name="Normal 2 5 3" xfId="167" xr:uid="{00000000-0005-0000-0000-0000A9000000}"/>
    <cellStyle name="Normal 2 5 3 2" xfId="168" xr:uid="{00000000-0005-0000-0000-0000AA000000}"/>
    <cellStyle name="Normal 2 5 3 2 2" xfId="291" xr:uid="{452D7503-6CD5-4B36-8805-67BC3D3CCA23}"/>
    <cellStyle name="Normal 2 5 3 3" xfId="278" xr:uid="{F8204826-4110-4273-B63B-F49D69029657}"/>
    <cellStyle name="Normal 2 5 4" xfId="169" xr:uid="{00000000-0005-0000-0000-0000AB000000}"/>
    <cellStyle name="Normal 2 5 4 2" xfId="279" xr:uid="{F1A39FD3-5328-46A6-B9B6-B877DB7DD383}"/>
    <cellStyle name="Normal 2 6" xfId="170" xr:uid="{00000000-0005-0000-0000-0000AC000000}"/>
    <cellStyle name="Normal 2_Nota 2" xfId="171" xr:uid="{00000000-0005-0000-0000-0000AD000000}"/>
    <cellStyle name="Normal 3" xfId="172" xr:uid="{00000000-0005-0000-0000-0000AE000000}"/>
    <cellStyle name="Normal 3 2" xfId="173" xr:uid="{00000000-0005-0000-0000-0000AF000000}"/>
    <cellStyle name="Normal 3 3" xfId="174" xr:uid="{00000000-0005-0000-0000-0000B0000000}"/>
    <cellStyle name="Normal 3 4" xfId="175" xr:uid="{00000000-0005-0000-0000-0000B1000000}"/>
    <cellStyle name="Normal 3 4 2" xfId="176" xr:uid="{00000000-0005-0000-0000-0000B2000000}"/>
    <cellStyle name="Normal 3 4 2 2" xfId="177" xr:uid="{00000000-0005-0000-0000-0000B3000000}"/>
    <cellStyle name="Normal 3 4 2 2 2" xfId="293" xr:uid="{2F97B9FF-7129-4223-9B97-BCD464C08BED}"/>
    <cellStyle name="Normal 3 4 3" xfId="178" xr:uid="{00000000-0005-0000-0000-0000B4000000}"/>
    <cellStyle name="Normal 3 5" xfId="179" xr:uid="{00000000-0005-0000-0000-0000B5000000}"/>
    <cellStyle name="Normal 3_Nota 2" xfId="180" xr:uid="{00000000-0005-0000-0000-0000B6000000}"/>
    <cellStyle name="Normal 4" xfId="181" xr:uid="{00000000-0005-0000-0000-0000B7000000}"/>
    <cellStyle name="Normal 4 2" xfId="182" xr:uid="{00000000-0005-0000-0000-0000B8000000}"/>
    <cellStyle name="Normal 4 2 2" xfId="183" xr:uid="{00000000-0005-0000-0000-0000B9000000}"/>
    <cellStyle name="Normal 4 2 2 2" xfId="184" xr:uid="{00000000-0005-0000-0000-0000BA000000}"/>
    <cellStyle name="Normal 4 2 2 2 2" xfId="294" xr:uid="{3604D1A5-2179-46BD-8B3F-ACA4047A159C}"/>
    <cellStyle name="Normal 4 2 3" xfId="185" xr:uid="{00000000-0005-0000-0000-0000BB000000}"/>
    <cellStyle name="Normal 4 3" xfId="186" xr:uid="{00000000-0005-0000-0000-0000BC000000}"/>
    <cellStyle name="Normal 5" xfId="187" xr:uid="{00000000-0005-0000-0000-0000BD000000}"/>
    <cellStyle name="Normal 5 2" xfId="188" xr:uid="{00000000-0005-0000-0000-0000BE000000}"/>
    <cellStyle name="Normal 5 2 2" xfId="189" xr:uid="{00000000-0005-0000-0000-0000BF000000}"/>
    <cellStyle name="Normal 5 2 3" xfId="190" xr:uid="{00000000-0005-0000-0000-0000C0000000}"/>
    <cellStyle name="Normal 5 2 3 2" xfId="191" xr:uid="{00000000-0005-0000-0000-0000C1000000}"/>
    <cellStyle name="Normal 5 2 3 2 2" xfId="295" xr:uid="{5D941F40-CD05-4B95-B514-F3427770F17C}"/>
    <cellStyle name="Normal 5 2 4" xfId="192" xr:uid="{00000000-0005-0000-0000-0000C2000000}"/>
    <cellStyle name="Normal 5 3" xfId="193" xr:uid="{00000000-0005-0000-0000-0000C3000000}"/>
    <cellStyle name="Normal 6" xfId="194" xr:uid="{00000000-0005-0000-0000-0000C4000000}"/>
    <cellStyle name="Normal 6 2" xfId="195" xr:uid="{00000000-0005-0000-0000-0000C5000000}"/>
    <cellStyle name="Normal 601" xfId="196" xr:uid="{00000000-0005-0000-0000-0000C6000000}"/>
    <cellStyle name="Normal 605" xfId="197" xr:uid="{00000000-0005-0000-0000-0000C7000000}"/>
    <cellStyle name="Normal 606" xfId="198" xr:uid="{00000000-0005-0000-0000-0000C8000000}"/>
    <cellStyle name="Normal 636" xfId="199" xr:uid="{00000000-0005-0000-0000-0000C9000000}"/>
    <cellStyle name="Normal 640" xfId="200" xr:uid="{00000000-0005-0000-0000-0000CA000000}"/>
    <cellStyle name="Normal 643" xfId="201" xr:uid="{00000000-0005-0000-0000-0000CB000000}"/>
    <cellStyle name="Normal 646" xfId="202" xr:uid="{00000000-0005-0000-0000-0000CC000000}"/>
    <cellStyle name="Normal 647" xfId="203" xr:uid="{00000000-0005-0000-0000-0000CD000000}"/>
    <cellStyle name="Normal 649" xfId="204" xr:uid="{00000000-0005-0000-0000-0000CE000000}"/>
    <cellStyle name="Normal 650" xfId="205" xr:uid="{00000000-0005-0000-0000-0000CF000000}"/>
    <cellStyle name="Normal 651" xfId="206" xr:uid="{00000000-0005-0000-0000-0000D0000000}"/>
    <cellStyle name="Normal 652" xfId="207" xr:uid="{00000000-0005-0000-0000-0000D1000000}"/>
    <cellStyle name="Normal 653" xfId="208" xr:uid="{00000000-0005-0000-0000-0000D2000000}"/>
    <cellStyle name="Normal 654" xfId="209" xr:uid="{00000000-0005-0000-0000-0000D3000000}"/>
    <cellStyle name="Normal 655" xfId="210" xr:uid="{00000000-0005-0000-0000-0000D4000000}"/>
    <cellStyle name="Normal 656" xfId="211" xr:uid="{00000000-0005-0000-0000-0000D5000000}"/>
    <cellStyle name="Normal 657" xfId="212" xr:uid="{00000000-0005-0000-0000-0000D6000000}"/>
    <cellStyle name="Normal 658" xfId="213" xr:uid="{00000000-0005-0000-0000-0000D7000000}"/>
    <cellStyle name="Normal 659" xfId="214" xr:uid="{00000000-0005-0000-0000-0000D8000000}"/>
    <cellStyle name="Normal 660" xfId="215" xr:uid="{00000000-0005-0000-0000-0000D9000000}"/>
    <cellStyle name="Normal 662" xfId="216" xr:uid="{00000000-0005-0000-0000-0000DA000000}"/>
    <cellStyle name="Normal 663" xfId="217" xr:uid="{00000000-0005-0000-0000-0000DB000000}"/>
    <cellStyle name="Normal 664" xfId="218" xr:uid="{00000000-0005-0000-0000-0000DC000000}"/>
    <cellStyle name="Normal 665" xfId="219" xr:uid="{00000000-0005-0000-0000-0000DD000000}"/>
    <cellStyle name="Normal 667" xfId="220" xr:uid="{00000000-0005-0000-0000-0000DE000000}"/>
    <cellStyle name="Normal 673" xfId="221" xr:uid="{00000000-0005-0000-0000-0000DF000000}"/>
    <cellStyle name="Normal 674" xfId="222" xr:uid="{00000000-0005-0000-0000-0000E0000000}"/>
    <cellStyle name="Normal 675" xfId="223" xr:uid="{00000000-0005-0000-0000-0000E1000000}"/>
    <cellStyle name="Normal 676" xfId="224" xr:uid="{00000000-0005-0000-0000-0000E2000000}"/>
    <cellStyle name="Normal 677" xfId="225" xr:uid="{00000000-0005-0000-0000-0000E3000000}"/>
    <cellStyle name="Normal 678" xfId="226" xr:uid="{00000000-0005-0000-0000-0000E4000000}"/>
    <cellStyle name="Normal 679" xfId="227" xr:uid="{00000000-0005-0000-0000-0000E5000000}"/>
    <cellStyle name="Normal 684" xfId="228" xr:uid="{00000000-0005-0000-0000-0000E6000000}"/>
    <cellStyle name="Normal 7" xfId="229" xr:uid="{00000000-0005-0000-0000-0000E7000000}"/>
    <cellStyle name="Normal 7 2" xfId="230" xr:uid="{00000000-0005-0000-0000-0000E8000000}"/>
    <cellStyle name="Normal 713" xfId="231" xr:uid="{00000000-0005-0000-0000-0000E9000000}"/>
    <cellStyle name="Normal 714" xfId="232" xr:uid="{00000000-0005-0000-0000-0000EA000000}"/>
    <cellStyle name="Normal 715" xfId="233" xr:uid="{00000000-0005-0000-0000-0000EB000000}"/>
    <cellStyle name="Normal 744" xfId="234" xr:uid="{00000000-0005-0000-0000-0000EC000000}"/>
    <cellStyle name="Normal 8" xfId="235" xr:uid="{00000000-0005-0000-0000-0000ED000000}"/>
    <cellStyle name="Normal 802" xfId="236" xr:uid="{00000000-0005-0000-0000-0000EE000000}"/>
    <cellStyle name="Normal 9" xfId="237" xr:uid="{00000000-0005-0000-0000-0000EF000000}"/>
    <cellStyle name="Normal 9 2" xfId="238" xr:uid="{00000000-0005-0000-0000-0000F0000000}"/>
    <cellStyle name="Normal 944" xfId="239" xr:uid="{00000000-0005-0000-0000-0000F1000000}"/>
    <cellStyle name="Normal 947" xfId="240" xr:uid="{00000000-0005-0000-0000-0000F2000000}"/>
    <cellStyle name="Normal 952" xfId="241" xr:uid="{00000000-0005-0000-0000-0000F3000000}"/>
    <cellStyle name="Normal 957" xfId="242" xr:uid="{00000000-0005-0000-0000-0000F4000000}"/>
    <cellStyle name="Normal 958" xfId="243" xr:uid="{00000000-0005-0000-0000-0000F5000000}"/>
    <cellStyle name="Normal 959" xfId="244" xr:uid="{00000000-0005-0000-0000-0000F6000000}"/>
    <cellStyle name="Normal 960" xfId="245" xr:uid="{00000000-0005-0000-0000-0000F7000000}"/>
    <cellStyle name="Normal 961" xfId="246" xr:uid="{00000000-0005-0000-0000-0000F8000000}"/>
    <cellStyle name="Normal 962" xfId="247" xr:uid="{00000000-0005-0000-0000-0000F9000000}"/>
    <cellStyle name="Normal 963" xfId="248" xr:uid="{00000000-0005-0000-0000-0000FA000000}"/>
    <cellStyle name="Normal 964" xfId="249" xr:uid="{00000000-0005-0000-0000-0000FB000000}"/>
    <cellStyle name="Normal 965" xfId="250" xr:uid="{00000000-0005-0000-0000-0000FC000000}"/>
    <cellStyle name="Normal 966" xfId="251" xr:uid="{00000000-0005-0000-0000-0000FD000000}"/>
    <cellStyle name="Normal 967" xfId="252" xr:uid="{00000000-0005-0000-0000-0000FE000000}"/>
    <cellStyle name="Normal 971" xfId="253" xr:uid="{00000000-0005-0000-0000-0000FF000000}"/>
    <cellStyle name="Normal 986" xfId="254" xr:uid="{00000000-0005-0000-0000-000000010000}"/>
    <cellStyle name="Porcentaje" xfId="2" builtinId="5"/>
    <cellStyle name="Porcentaje 2" xfId="255" xr:uid="{00000000-0005-0000-0000-000001010000}"/>
    <cellStyle name="Porcentaje 2 2" xfId="256" xr:uid="{00000000-0005-0000-0000-000002010000}"/>
    <cellStyle name="Porcentaje 2 2 2" xfId="257" xr:uid="{00000000-0005-0000-0000-000003010000}"/>
    <cellStyle name="Porcentaje 2 2 2 2" xfId="258" xr:uid="{00000000-0005-0000-0000-000004010000}"/>
    <cellStyle name="Porcentaje 2 2 2 2 2" xfId="298" xr:uid="{0FD29C9A-3118-4EA2-BF0A-1EB56461CB82}"/>
    <cellStyle name="Porcentaje 2 2 3" xfId="259" xr:uid="{00000000-0005-0000-0000-000005010000}"/>
    <cellStyle name="Porcentaje 2 3" xfId="260" xr:uid="{00000000-0005-0000-0000-000006010000}"/>
    <cellStyle name="Porcentaje 2 3 2" xfId="261" xr:uid="{00000000-0005-0000-0000-000007010000}"/>
    <cellStyle name="Porcentaje 2 3 2 2" xfId="262" xr:uid="{00000000-0005-0000-0000-000008010000}"/>
    <cellStyle name="Porcentaje 2 3 2 2 2" xfId="297" xr:uid="{05EF7175-DB74-4DEE-B616-013E2B8E4329}"/>
    <cellStyle name="Porcentaje 2 3 3" xfId="263" xr:uid="{00000000-0005-0000-0000-000009010000}"/>
    <cellStyle name="Porcentaje 3" xfId="264" xr:uid="{00000000-0005-0000-0000-00000A010000}"/>
    <cellStyle name="Porcentaje 3 2" xfId="265" xr:uid="{00000000-0005-0000-0000-00000B010000}"/>
    <cellStyle name="Porcentaje 3 2 2" xfId="266" xr:uid="{00000000-0005-0000-0000-00000C010000}"/>
    <cellStyle name="Porcentaje 3 2 2 2" xfId="299" xr:uid="{6F632DD3-2128-46D0-B53D-C2397B902018}"/>
    <cellStyle name="Porcentaje 3 3" xfId="267" xr:uid="{00000000-0005-0000-0000-00000D010000}"/>
    <cellStyle name="Porcentaje 4" xfId="268" xr:uid="{00000000-0005-0000-0000-00000E010000}"/>
    <cellStyle name="Porcentaje 4 2" xfId="269" xr:uid="{00000000-0005-0000-0000-00000F010000}"/>
    <cellStyle name="Porcentaje 4 2 2" xfId="270" xr:uid="{00000000-0005-0000-0000-000010010000}"/>
    <cellStyle name="Porcentaje 4 2 2 2" xfId="296" xr:uid="{96F19CB4-E175-4F91-869F-C77ABB4C6640}"/>
    <cellStyle name="Porcentaje 4 3" xfId="271" xr:uid="{00000000-0005-0000-0000-000011010000}"/>
    <cellStyle name="Sin título1" xfId="272" xr:uid="{00000000-0005-0000-0000-000012010000}"/>
    <cellStyle name="Sin título2" xfId="273" xr:uid="{00000000-0005-0000-0000-000013010000}"/>
    <cellStyle name="Sin título3" xfId="274" xr:uid="{00000000-0005-0000-0000-00001401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70C0"/>
      <rgbColor rgb="FFC0C0C0"/>
      <rgbColor rgb="FF215F9A"/>
      <rgbColor rgb="FF9999FF"/>
      <rgbColor rgb="FF993366"/>
      <rgbColor rgb="FFFFFDE7"/>
      <rgbColor rgb="FFCCFFFF"/>
      <rgbColor rgb="FF660066"/>
      <rgbColor rgb="FFFF8080"/>
      <rgbColor rgb="FF0563C1"/>
      <rgbColor rgb="FFDCDCDC"/>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FCC99"/>
      <rgbColor rgb="FF4472C4"/>
      <rgbColor rgb="FF33CCCC"/>
      <rgbColor rgb="FF81D41A"/>
      <rgbColor rgb="FFFFC000"/>
      <rgbColor rgb="FFFF9900"/>
      <rgbColor rgb="FFFF6600"/>
      <rgbColor rgb="FF2F5597"/>
      <rgbColor rgb="FFA6A6A6"/>
      <rgbColor rgb="FF002060"/>
      <rgbColor rgb="FF00A933"/>
      <rgbColor rgb="FF000009"/>
      <rgbColor rgb="FF203864"/>
      <rgbColor rgb="FF993300"/>
      <rgbColor rgb="FF993366"/>
      <rgbColor rgb="FF203764"/>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951480</xdr:colOff>
      <xdr:row>0</xdr:row>
      <xdr:rowOff>597960</xdr:rowOff>
    </xdr:from>
    <xdr:to>
      <xdr:col>3</xdr:col>
      <xdr:colOff>1386000</xdr:colOff>
      <xdr:row>4</xdr:row>
      <xdr:rowOff>141480</xdr:rowOff>
    </xdr:to>
    <xdr:pic>
      <xdr:nvPicPr>
        <xdr:cNvPr id="2" name="Imagen 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951480" y="597960"/>
          <a:ext cx="8303760" cy="10735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388440</xdr:colOff>
      <xdr:row>4</xdr:row>
      <xdr:rowOff>22320</xdr:rowOff>
    </xdr:from>
    <xdr:to>
      <xdr:col>2</xdr:col>
      <xdr:colOff>3164400</xdr:colOff>
      <xdr:row>12</xdr:row>
      <xdr:rowOff>18360</xdr:rowOff>
    </xdr:to>
    <xdr:pic>
      <xdr:nvPicPr>
        <xdr:cNvPr id="2" name="Imagen 3">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388440" y="993600"/>
          <a:ext cx="8785440" cy="146916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47520</xdr:colOff>
      <xdr:row>8</xdr:row>
      <xdr:rowOff>28440</xdr:rowOff>
    </xdr:from>
    <xdr:to>
      <xdr:col>8</xdr:col>
      <xdr:colOff>65160</xdr:colOff>
      <xdr:row>10</xdr:row>
      <xdr:rowOff>150840</xdr:rowOff>
    </xdr:to>
    <xdr:sp macro="" textlink="">
      <xdr:nvSpPr>
        <xdr:cNvPr id="2" name="CuadroTexto 2">
          <a:extLst>
            <a:ext uri="{FF2B5EF4-FFF2-40B4-BE49-F238E27FC236}">
              <a16:creationId xmlns:a16="http://schemas.microsoft.com/office/drawing/2014/main" id="{00000000-0008-0000-1A00-000002000000}"/>
            </a:ext>
          </a:extLst>
        </xdr:cNvPr>
        <xdr:cNvSpPr/>
      </xdr:nvSpPr>
      <xdr:spPr>
        <a:xfrm>
          <a:off x="47520" y="1647360"/>
          <a:ext cx="8305560" cy="490680"/>
        </a:xfrm>
        <a:prstGeom prst="rect">
          <a:avLst/>
        </a:prstGeom>
        <a:solidFill>
          <a:srgbClr val="FFFFFF"/>
        </a:solidFill>
        <a:ln w="9360">
          <a:solidFill>
            <a:srgbClr val="BCBCBC"/>
          </a:solidFill>
          <a:round/>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pPr>
          <a:r>
            <a:rPr lang="es-PY" sz="1100" b="0" strike="noStrike" spc="-1">
              <a:solidFill>
                <a:srgbClr val="000000"/>
              </a:solidFill>
              <a:latin typeface="Calibri"/>
            </a:rPr>
            <a:t>Breve Descripción:  Los saldos que representan fueron calculadas y contabilizadas conforme al  Decreto Anexo 6359/2005 Art.51° y Art.87</a:t>
          </a:r>
          <a:endParaRPr lang="es-PY" sz="1100" b="0" strike="noStrike" spc="-1">
            <a:latin typeface="Times New Roman"/>
          </a:endParaRPr>
        </a:p>
      </xdr:txBody>
    </xdr:sp>
    <xdr:clientData/>
  </xdr:twoCellAnchor>
  <xdr:twoCellAnchor>
    <xdr:from>
      <xdr:col>0</xdr:col>
      <xdr:colOff>47520</xdr:colOff>
      <xdr:row>12</xdr:row>
      <xdr:rowOff>38520</xdr:rowOff>
    </xdr:from>
    <xdr:to>
      <xdr:col>8</xdr:col>
      <xdr:colOff>65160</xdr:colOff>
      <xdr:row>14</xdr:row>
      <xdr:rowOff>171720</xdr:rowOff>
    </xdr:to>
    <xdr:sp macro="" textlink="">
      <xdr:nvSpPr>
        <xdr:cNvPr id="3" name="CuadroTexto 3">
          <a:extLst>
            <a:ext uri="{FF2B5EF4-FFF2-40B4-BE49-F238E27FC236}">
              <a16:creationId xmlns:a16="http://schemas.microsoft.com/office/drawing/2014/main" id="{00000000-0008-0000-1A00-000003000000}"/>
            </a:ext>
          </a:extLst>
        </xdr:cNvPr>
        <xdr:cNvSpPr/>
      </xdr:nvSpPr>
      <xdr:spPr>
        <a:xfrm>
          <a:off x="47520" y="2394360"/>
          <a:ext cx="8305560" cy="501480"/>
        </a:xfrm>
        <a:prstGeom prst="rect">
          <a:avLst/>
        </a:prstGeom>
        <a:solidFill>
          <a:srgbClr val="FFFFFF"/>
        </a:solidFill>
        <a:ln w="9360">
          <a:solidFill>
            <a:srgbClr val="BCBCBC"/>
          </a:solidFill>
          <a:round/>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tabLst>
              <a:tab pos="0" algn="l"/>
            </a:tabLst>
          </a:pPr>
          <a:r>
            <a:rPr lang="es-PY" sz="1100" b="0" strike="noStrike" spc="-1">
              <a:solidFill>
                <a:srgbClr val="000000"/>
              </a:solidFill>
              <a:latin typeface="Calibri"/>
            </a:rPr>
            <a:t>Breve Descripción: En ambos ejercicios los saldos que representan fueron calculadas y contabilizadas conforme a la Ley 6380/2019 Art. 16 y   Decreto 3182/2019 Art.66.</a:t>
          </a:r>
          <a:endParaRPr lang="es-PY" sz="1100" b="0" strike="noStrike" spc="-1">
            <a:latin typeface="Times New Roman"/>
          </a:endParaRPr>
        </a:p>
        <a:p>
          <a:pPr>
            <a:lnSpc>
              <a:spcPct val="100000"/>
            </a:lnSpc>
            <a:tabLst>
              <a:tab pos="0" algn="l"/>
            </a:tabLst>
          </a:pPr>
          <a:endParaRPr lang="es-PY" sz="1100" b="0" strike="noStrike" spc="-1">
            <a:latin typeface="Times New Roman"/>
          </a:endParaRPr>
        </a:p>
        <a:p>
          <a:pPr>
            <a:lnSpc>
              <a:spcPct val="100000"/>
            </a:lnSpc>
            <a:tabLst>
              <a:tab pos="0" algn="l"/>
            </a:tabLst>
          </a:pPr>
          <a:endParaRPr lang="es-PY" sz="1100" b="0" strike="noStrike" spc="-1">
            <a:latin typeface="Times New Roman"/>
          </a:endParaRPr>
        </a:p>
      </xdr:txBody>
    </xdr:sp>
    <xdr:clientData/>
  </xdr:twoCellAnchor>
  <xdr:twoCellAnchor>
    <xdr:from>
      <xdr:col>0</xdr:col>
      <xdr:colOff>69120</xdr:colOff>
      <xdr:row>16</xdr:row>
      <xdr:rowOff>14400</xdr:rowOff>
    </xdr:from>
    <xdr:to>
      <xdr:col>8</xdr:col>
      <xdr:colOff>86760</xdr:colOff>
      <xdr:row>18</xdr:row>
      <xdr:rowOff>136800</xdr:rowOff>
    </xdr:to>
    <xdr:sp macro="" textlink="">
      <xdr:nvSpPr>
        <xdr:cNvPr id="4" name="CuadroTexto 4">
          <a:extLst>
            <a:ext uri="{FF2B5EF4-FFF2-40B4-BE49-F238E27FC236}">
              <a16:creationId xmlns:a16="http://schemas.microsoft.com/office/drawing/2014/main" id="{00000000-0008-0000-1A00-000004000000}"/>
            </a:ext>
          </a:extLst>
        </xdr:cNvPr>
        <xdr:cNvSpPr/>
      </xdr:nvSpPr>
      <xdr:spPr>
        <a:xfrm>
          <a:off x="69120" y="3106800"/>
          <a:ext cx="8305560" cy="490680"/>
        </a:xfrm>
        <a:prstGeom prst="rect">
          <a:avLst/>
        </a:prstGeom>
        <a:solidFill>
          <a:srgbClr val="FFFFFF"/>
        </a:solidFill>
        <a:ln w="9360">
          <a:solidFill>
            <a:srgbClr val="BCBCBC"/>
          </a:solidFill>
          <a:round/>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tabLst>
              <a:tab pos="0" algn="l"/>
            </a:tabLst>
          </a:pPr>
          <a:r>
            <a:rPr lang="es-PY" sz="1100" b="0" strike="noStrike" spc="-1">
              <a:solidFill>
                <a:srgbClr val="000000"/>
              </a:solidFill>
              <a:latin typeface="Calibri"/>
            </a:rPr>
            <a:t>Breve Descripción</a:t>
          </a:r>
          <a:endParaRPr lang="es-PY" sz="1100" b="0" strike="noStrike" spc="-1">
            <a:latin typeface="Times New Roman"/>
          </a:endParaRPr>
        </a:p>
        <a:p>
          <a:pPr>
            <a:lnSpc>
              <a:spcPct val="100000"/>
            </a:lnSpc>
            <a:tabLst>
              <a:tab pos="0" algn="l"/>
            </a:tabLst>
          </a:pPr>
          <a:endParaRPr lang="es-PY" sz="1100" b="0" strike="noStrike" spc="-1">
            <a:latin typeface="Times New Roman"/>
          </a:endParaRPr>
        </a:p>
      </xdr:txBody>
    </xdr:sp>
    <xdr:clientData/>
  </xdr:twoCellAnchor>
  <xdr:twoCellAnchor>
    <xdr:from>
      <xdr:col>0</xdr:col>
      <xdr:colOff>47520</xdr:colOff>
      <xdr:row>23</xdr:row>
      <xdr:rowOff>86040</xdr:rowOff>
    </xdr:from>
    <xdr:to>
      <xdr:col>8</xdr:col>
      <xdr:colOff>65160</xdr:colOff>
      <xdr:row>26</xdr:row>
      <xdr:rowOff>18000</xdr:rowOff>
    </xdr:to>
    <xdr:sp macro="" textlink="">
      <xdr:nvSpPr>
        <xdr:cNvPr id="5" name="CuadroTexto 5">
          <a:extLst>
            <a:ext uri="{FF2B5EF4-FFF2-40B4-BE49-F238E27FC236}">
              <a16:creationId xmlns:a16="http://schemas.microsoft.com/office/drawing/2014/main" id="{00000000-0008-0000-1A00-000005000000}"/>
            </a:ext>
          </a:extLst>
        </xdr:cNvPr>
        <xdr:cNvSpPr/>
      </xdr:nvSpPr>
      <xdr:spPr>
        <a:xfrm>
          <a:off x="47520" y="4467240"/>
          <a:ext cx="8305560" cy="484560"/>
        </a:xfrm>
        <a:prstGeom prst="rect">
          <a:avLst/>
        </a:prstGeom>
        <a:solidFill>
          <a:srgbClr val="FFFFFF"/>
        </a:solidFill>
        <a:ln w="9360">
          <a:solidFill>
            <a:srgbClr val="BCBCBC"/>
          </a:solidFill>
          <a:round/>
        </a:ln>
      </xdr:spPr>
      <xdr:style>
        <a:lnRef idx="0">
          <a:scrgbClr r="0" g="0" b="0"/>
        </a:lnRef>
        <a:fillRef idx="0">
          <a:scrgbClr r="0" g="0" b="0"/>
        </a:fillRef>
        <a:effectRef idx="0">
          <a:scrgbClr r="0" g="0" b="0"/>
        </a:effectRef>
        <a:fontRef idx="minor"/>
      </xdr:style>
      <xdr:txBody>
        <a:bodyPr lIns="90000" tIns="45000" rIns="90000" bIns="45000" anchor="t">
          <a:noAutofit/>
        </a:bodyPr>
        <a:lstStyle/>
        <a:p>
          <a:pPr>
            <a:lnSpc>
              <a:spcPct val="100000"/>
            </a:lnSpc>
            <a:tabLst>
              <a:tab pos="0" algn="l"/>
            </a:tabLst>
          </a:pPr>
          <a:r>
            <a:rPr lang="es-PY" sz="1100" b="0" strike="noStrike" spc="-1">
              <a:solidFill>
                <a:srgbClr val="000000"/>
              </a:solidFill>
              <a:latin typeface="Calibri"/>
            </a:rPr>
            <a:t>Breve Descripción</a:t>
          </a:r>
          <a:endParaRPr lang="es-PY" sz="1100" b="0" strike="noStrike" spc="-1">
            <a:latin typeface="Times New Roman"/>
          </a:endParaRPr>
        </a:p>
        <a:p>
          <a:pPr>
            <a:lnSpc>
              <a:spcPct val="100000"/>
            </a:lnSpc>
            <a:tabLst>
              <a:tab pos="0" algn="l"/>
            </a:tabLst>
          </a:pPr>
          <a:endParaRPr lang="es-PY" sz="1100" b="0" strike="noStrike" spc="-1">
            <a:latin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ilav/desktop/kurosu%20&amp;%20cia%20s.a.%2031_12_2021/a)-estados%20financieros%20%20dic%202021_ok%20-a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e moneda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66"/>
  <sheetViews>
    <sheetView showGridLines="0" topLeftCell="A20" zoomScaleNormal="100" workbookViewId="0">
      <selection activeCell="A14" activeCellId="1" sqref="A166:A259 A14"/>
    </sheetView>
  </sheetViews>
  <sheetFormatPr baseColWidth="10" defaultColWidth="11.453125" defaultRowHeight="14.5"/>
  <cols>
    <col min="1" max="1" width="21.453125" style="5" customWidth="1"/>
    <col min="2" max="2" width="28.54296875" style="5" customWidth="1"/>
    <col min="3" max="3" width="61.54296875" style="5" customWidth="1"/>
    <col min="4" max="4" width="21.7265625" style="6" customWidth="1"/>
    <col min="5" max="5" width="49.81640625" style="5" customWidth="1"/>
    <col min="6" max="6" width="6.81640625" style="5" customWidth="1"/>
    <col min="7" max="1024" width="11.453125" style="5"/>
  </cols>
  <sheetData>
    <row r="1" spans="1:20" ht="75" customHeight="1">
      <c r="B1" s="7" t="s">
        <v>0</v>
      </c>
      <c r="C1" s="8" t="s">
        <v>1</v>
      </c>
      <c r="D1" s="9"/>
      <c r="S1" s="5">
        <v>1</v>
      </c>
      <c r="T1" s="5" t="s">
        <v>2</v>
      </c>
    </row>
    <row r="2" spans="1:20" s="5" customFormat="1" ht="19.5" customHeight="1">
      <c r="B2" s="10"/>
      <c r="C2" s="11"/>
      <c r="S2" s="5">
        <v>2</v>
      </c>
      <c r="T2" s="5" t="s">
        <v>3</v>
      </c>
    </row>
    <row r="3" spans="1:20" s="5" customFormat="1" ht="13">
      <c r="B3" s="10"/>
      <c r="C3" s="11"/>
      <c r="S3" s="5">
        <v>3</v>
      </c>
      <c r="T3" s="5" t="s">
        <v>4</v>
      </c>
    </row>
    <row r="4" spans="1:20" s="5" customFormat="1" ht="13">
      <c r="C4" s="11"/>
    </row>
    <row r="7" spans="1:20">
      <c r="S7" s="5">
        <v>4</v>
      </c>
      <c r="T7" s="5" t="s">
        <v>5</v>
      </c>
    </row>
    <row r="8" spans="1:20" ht="11.25" customHeight="1">
      <c r="A8" s="10" t="s">
        <v>6</v>
      </c>
      <c r="B8" s="12">
        <v>45747</v>
      </c>
      <c r="D8" s="13">
        <v>45747</v>
      </c>
      <c r="S8" s="5">
        <v>5</v>
      </c>
      <c r="T8" s="5" t="s">
        <v>7</v>
      </c>
    </row>
    <row r="9" spans="1:20" hidden="1">
      <c r="A9" s="14"/>
      <c r="B9" s="14"/>
      <c r="C9" s="14"/>
      <c r="D9" s="15"/>
      <c r="S9" s="5">
        <v>6</v>
      </c>
      <c r="T9" s="5" t="s">
        <v>8</v>
      </c>
    </row>
    <row r="10" spans="1:20">
      <c r="A10" s="16"/>
      <c r="S10" s="5">
        <v>7</v>
      </c>
      <c r="T10" s="5" t="s">
        <v>9</v>
      </c>
    </row>
    <row r="11" spans="1:20" ht="26.25" customHeight="1">
      <c r="B11" s="17"/>
      <c r="C11" s="18" t="s">
        <v>10</v>
      </c>
      <c r="D11" s="19" t="s">
        <v>11</v>
      </c>
      <c r="S11" s="5">
        <v>8</v>
      </c>
      <c r="T11" s="5" t="s">
        <v>12</v>
      </c>
    </row>
    <row r="12" spans="1:20" ht="26.25" customHeight="1">
      <c r="B12" s="20" t="s">
        <v>13</v>
      </c>
      <c r="C12" s="21"/>
      <c r="D12" s="22" t="s">
        <v>14</v>
      </c>
      <c r="E12" s="23"/>
      <c r="S12" s="5">
        <v>9</v>
      </c>
      <c r="T12" s="5" t="s">
        <v>15</v>
      </c>
    </row>
    <row r="13" spans="1:20">
      <c r="A13" s="6"/>
      <c r="B13" s="24"/>
      <c r="C13" s="5" t="s">
        <v>16</v>
      </c>
      <c r="D13" s="25" t="s">
        <v>17</v>
      </c>
      <c r="S13" s="5">
        <v>10</v>
      </c>
      <c r="T13" s="5" t="s">
        <v>18</v>
      </c>
    </row>
    <row r="14" spans="1:20">
      <c r="A14" s="6"/>
      <c r="B14" s="24"/>
      <c r="C14" s="5" t="s">
        <v>19</v>
      </c>
      <c r="D14" s="25" t="s">
        <v>20</v>
      </c>
      <c r="S14" s="5">
        <v>11</v>
      </c>
      <c r="T14" s="5" t="s">
        <v>21</v>
      </c>
    </row>
    <row r="15" spans="1:20">
      <c r="A15" s="6"/>
      <c r="B15" s="20" t="s">
        <v>22</v>
      </c>
      <c r="D15" s="25" t="s">
        <v>23</v>
      </c>
      <c r="S15" s="5">
        <v>12</v>
      </c>
      <c r="T15" s="5" t="s">
        <v>24</v>
      </c>
    </row>
    <row r="16" spans="1:20">
      <c r="A16" s="6"/>
      <c r="B16" s="24"/>
      <c r="C16" s="5" t="s">
        <v>25</v>
      </c>
      <c r="D16" s="26" t="s">
        <v>26</v>
      </c>
    </row>
    <row r="17" spans="2:4">
      <c r="B17" s="24"/>
      <c r="C17" s="5" t="s">
        <v>27</v>
      </c>
      <c r="D17" s="26" t="s">
        <v>28</v>
      </c>
    </row>
    <row r="18" spans="2:4">
      <c r="B18" s="24"/>
      <c r="C18" s="5" t="s">
        <v>29</v>
      </c>
      <c r="D18" s="26" t="s">
        <v>30</v>
      </c>
    </row>
    <row r="19" spans="2:4">
      <c r="B19" s="24"/>
      <c r="C19" s="5" t="s">
        <v>31</v>
      </c>
      <c r="D19" s="26" t="s">
        <v>32</v>
      </c>
    </row>
    <row r="20" spans="2:4">
      <c r="B20" s="24"/>
      <c r="C20" s="5" t="s">
        <v>29</v>
      </c>
      <c r="D20" s="25" t="s">
        <v>30</v>
      </c>
    </row>
    <row r="21" spans="2:4">
      <c r="B21" s="24"/>
      <c r="C21" s="5" t="s">
        <v>33</v>
      </c>
      <c r="D21" s="26" t="s">
        <v>34</v>
      </c>
    </row>
    <row r="22" spans="2:4">
      <c r="B22" s="24"/>
      <c r="C22" s="5" t="s">
        <v>35</v>
      </c>
      <c r="D22" s="26" t="s">
        <v>36</v>
      </c>
    </row>
    <row r="23" spans="2:4">
      <c r="B23" s="24"/>
      <c r="C23" s="5" t="s">
        <v>37</v>
      </c>
      <c r="D23" s="26" t="s">
        <v>38</v>
      </c>
    </row>
    <row r="24" spans="2:4">
      <c r="B24" s="24"/>
      <c r="C24" s="5" t="s">
        <v>39</v>
      </c>
      <c r="D24" s="26" t="s">
        <v>40</v>
      </c>
    </row>
    <row r="25" spans="2:4">
      <c r="B25" s="24"/>
      <c r="C25" s="5" t="s">
        <v>41</v>
      </c>
      <c r="D25" s="25" t="s">
        <v>42</v>
      </c>
    </row>
    <row r="26" spans="2:4">
      <c r="B26" s="24"/>
      <c r="C26" s="5" t="s">
        <v>43</v>
      </c>
      <c r="D26" s="25" t="s">
        <v>44</v>
      </c>
    </row>
    <row r="27" spans="2:4">
      <c r="B27" s="24"/>
      <c r="C27" s="5" t="s">
        <v>45</v>
      </c>
      <c r="D27" s="25" t="s">
        <v>46</v>
      </c>
    </row>
    <row r="28" spans="2:4">
      <c r="B28" s="24"/>
      <c r="C28" s="5" t="s">
        <v>47</v>
      </c>
      <c r="D28" s="26" t="s">
        <v>48</v>
      </c>
    </row>
    <row r="29" spans="2:4">
      <c r="B29" s="24"/>
      <c r="C29" s="5" t="s">
        <v>49</v>
      </c>
      <c r="D29" s="26" t="s">
        <v>50</v>
      </c>
    </row>
    <row r="30" spans="2:4">
      <c r="B30" s="24"/>
      <c r="C30" s="5" t="s">
        <v>51</v>
      </c>
      <c r="D30" s="26" t="s">
        <v>52</v>
      </c>
    </row>
    <row r="31" spans="2:4">
      <c r="B31" s="24"/>
      <c r="C31" s="5" t="s">
        <v>53</v>
      </c>
      <c r="D31" s="25" t="s">
        <v>54</v>
      </c>
    </row>
    <row r="32" spans="2:4">
      <c r="B32" s="24"/>
      <c r="C32" s="5" t="s">
        <v>55</v>
      </c>
      <c r="D32" s="25" t="s">
        <v>56</v>
      </c>
    </row>
    <row r="33" spans="2:4">
      <c r="B33" s="24"/>
      <c r="C33" s="5" t="s">
        <v>57</v>
      </c>
      <c r="D33" s="25" t="s">
        <v>58</v>
      </c>
    </row>
    <row r="34" spans="2:4">
      <c r="B34" s="24"/>
      <c r="C34" s="5" t="s">
        <v>59</v>
      </c>
      <c r="D34" s="25" t="s">
        <v>48</v>
      </c>
    </row>
    <row r="35" spans="2:4">
      <c r="B35" s="24"/>
      <c r="C35" s="5" t="s">
        <v>60</v>
      </c>
      <c r="D35" s="25" t="s">
        <v>58</v>
      </c>
    </row>
    <row r="36" spans="2:4">
      <c r="B36" s="24"/>
      <c r="C36" s="5" t="s">
        <v>61</v>
      </c>
      <c r="D36" s="25" t="s">
        <v>62</v>
      </c>
    </row>
    <row r="37" spans="2:4">
      <c r="B37" s="24"/>
      <c r="C37" s="5" t="s">
        <v>63</v>
      </c>
      <c r="D37" s="25" t="s">
        <v>64</v>
      </c>
    </row>
    <row r="38" spans="2:4">
      <c r="B38" s="24"/>
      <c r="C38" s="5" t="s">
        <v>65</v>
      </c>
      <c r="D38" s="25" t="s">
        <v>64</v>
      </c>
    </row>
    <row r="39" spans="2:4">
      <c r="B39" s="24"/>
      <c r="C39" s="5" t="s">
        <v>66</v>
      </c>
      <c r="D39" s="25" t="s">
        <v>64</v>
      </c>
    </row>
    <row r="40" spans="2:4">
      <c r="B40" s="24"/>
      <c r="C40" s="5" t="s">
        <v>67</v>
      </c>
      <c r="D40" s="25" t="s">
        <v>64</v>
      </c>
    </row>
    <row r="41" spans="2:4">
      <c r="B41" s="24"/>
      <c r="C41" s="5" t="s">
        <v>68</v>
      </c>
      <c r="D41" s="25" t="s">
        <v>69</v>
      </c>
    </row>
    <row r="42" spans="2:4">
      <c r="B42" s="24"/>
      <c r="C42" s="5" t="s">
        <v>70</v>
      </c>
      <c r="D42" s="25" t="s">
        <v>71</v>
      </c>
    </row>
    <row r="43" spans="2:4">
      <c r="B43" s="24"/>
      <c r="C43" s="5" t="s">
        <v>72</v>
      </c>
      <c r="D43" s="25" t="s">
        <v>73</v>
      </c>
    </row>
    <row r="44" spans="2:4">
      <c r="B44" s="20" t="s">
        <v>74</v>
      </c>
      <c r="D44" s="25" t="s">
        <v>75</v>
      </c>
    </row>
    <row r="45" spans="2:4">
      <c r="B45" s="24"/>
      <c r="C45" s="5" t="s">
        <v>76</v>
      </c>
      <c r="D45" s="25" t="s">
        <v>77</v>
      </c>
    </row>
    <row r="46" spans="2:4">
      <c r="B46" s="24"/>
      <c r="C46" s="5" t="s">
        <v>78</v>
      </c>
      <c r="D46" s="25" t="s">
        <v>79</v>
      </c>
    </row>
    <row r="47" spans="2:4">
      <c r="B47" s="24"/>
      <c r="C47" s="5" t="s">
        <v>80</v>
      </c>
      <c r="D47" s="25" t="s">
        <v>81</v>
      </c>
    </row>
    <row r="48" spans="2:4">
      <c r="B48" s="24"/>
      <c r="C48" s="5" t="s">
        <v>82</v>
      </c>
      <c r="D48" s="25" t="s">
        <v>81</v>
      </c>
    </row>
    <row r="49" spans="2:4">
      <c r="B49" s="24"/>
      <c r="C49" s="5" t="s">
        <v>83</v>
      </c>
      <c r="D49" s="25" t="s">
        <v>84</v>
      </c>
    </row>
    <row r="50" spans="2:4">
      <c r="B50" s="24"/>
      <c r="C50" s="5" t="s">
        <v>85</v>
      </c>
      <c r="D50" s="25" t="s">
        <v>86</v>
      </c>
    </row>
    <row r="51" spans="2:4">
      <c r="B51" s="24"/>
      <c r="C51" s="5" t="s">
        <v>87</v>
      </c>
      <c r="D51" s="25" t="s">
        <v>86</v>
      </c>
    </row>
    <row r="52" spans="2:4">
      <c r="B52" s="24"/>
      <c r="C52" s="5" t="s">
        <v>88</v>
      </c>
      <c r="D52" s="25" t="s">
        <v>89</v>
      </c>
    </row>
    <row r="53" spans="2:4">
      <c r="B53" s="24"/>
      <c r="C53" s="5" t="s">
        <v>90</v>
      </c>
      <c r="D53" s="25" t="s">
        <v>91</v>
      </c>
    </row>
    <row r="54" spans="2:4">
      <c r="B54" s="24"/>
      <c r="C54" s="5" t="s">
        <v>92</v>
      </c>
      <c r="D54" s="25" t="s">
        <v>93</v>
      </c>
    </row>
    <row r="55" spans="2:4">
      <c r="B55" s="24"/>
      <c r="C55" s="5" t="s">
        <v>94</v>
      </c>
      <c r="D55" s="25" t="s">
        <v>95</v>
      </c>
    </row>
    <row r="56" spans="2:4">
      <c r="B56" s="24"/>
      <c r="C56" s="5" t="s">
        <v>96</v>
      </c>
      <c r="D56" s="25" t="s">
        <v>97</v>
      </c>
    </row>
    <row r="57" spans="2:4">
      <c r="B57" s="24"/>
      <c r="C57" s="5" t="s">
        <v>98</v>
      </c>
      <c r="D57" s="25" t="s">
        <v>99</v>
      </c>
    </row>
    <row r="58" spans="2:4">
      <c r="B58" s="24"/>
      <c r="C58" s="5" t="s">
        <v>100</v>
      </c>
      <c r="D58" s="25" t="s">
        <v>99</v>
      </c>
    </row>
    <row r="59" spans="2:4">
      <c r="B59" s="20" t="s">
        <v>101</v>
      </c>
      <c r="D59" s="25" t="s">
        <v>102</v>
      </c>
    </row>
    <row r="60" spans="2:4">
      <c r="B60" s="20" t="s">
        <v>103</v>
      </c>
      <c r="D60" s="25" t="s">
        <v>104</v>
      </c>
    </row>
    <row r="61" spans="2:4">
      <c r="B61" s="20" t="s">
        <v>105</v>
      </c>
      <c r="D61" s="25"/>
    </row>
    <row r="62" spans="2:4">
      <c r="B62" s="24"/>
      <c r="C62" s="5" t="s">
        <v>106</v>
      </c>
      <c r="D62" s="25" t="s">
        <v>107</v>
      </c>
    </row>
    <row r="63" spans="2:4">
      <c r="B63" s="24"/>
      <c r="C63" s="5" t="s">
        <v>108</v>
      </c>
      <c r="D63" s="25" t="s">
        <v>109</v>
      </c>
    </row>
    <row r="64" spans="2:4">
      <c r="B64" s="24"/>
      <c r="C64" s="5" t="s">
        <v>110</v>
      </c>
      <c r="D64" s="25" t="s">
        <v>111</v>
      </c>
    </row>
    <row r="65" spans="2:4">
      <c r="B65" s="24"/>
      <c r="C65" s="5" t="s">
        <v>112</v>
      </c>
      <c r="D65" s="25" t="s">
        <v>113</v>
      </c>
    </row>
    <row r="66" spans="2:4">
      <c r="B66" s="27"/>
      <c r="C66" s="28" t="s">
        <v>114</v>
      </c>
      <c r="D66" s="29" t="s">
        <v>115</v>
      </c>
    </row>
  </sheetData>
  <hyperlinks>
    <hyperlink ref="D12" location="'Información General'!A1" display="Información General" xr:uid="{00000000-0004-0000-0000-000000000000}"/>
    <hyperlink ref="D13" location="Nota1!A1" display="Nota 1" xr:uid="{00000000-0004-0000-0000-000001000000}"/>
    <hyperlink ref="D14" location="'Nota 2'!A1" display="Nota 2" xr:uid="{00000000-0004-0000-0000-000002000000}"/>
    <hyperlink ref="D15" location="BG!A1" display="BG" xr:uid="{00000000-0004-0000-0000-000003000000}"/>
    <hyperlink ref="D16" location="'Nota 3'!A1" display="Nota 3" xr:uid="{00000000-0004-0000-0000-000004000000}"/>
    <hyperlink ref="D17" location="'Nota 4'!A1" display="Nota 4" xr:uid="{00000000-0004-0000-0000-000005000000}"/>
    <hyperlink ref="D18" location="'Nota 5'!A1" display="Nota 5" xr:uid="{00000000-0004-0000-0000-000006000000}"/>
    <hyperlink ref="D19" location="'Nota 6'!A1" display="Nota 6" xr:uid="{00000000-0004-0000-0000-000007000000}"/>
    <hyperlink ref="D20" location="'Nota 5'!A1" display="Nota 5" xr:uid="{00000000-0004-0000-0000-000008000000}"/>
    <hyperlink ref="D21" location="'Nota 7'!A1" display="Nota 7" xr:uid="{00000000-0004-0000-0000-000009000000}"/>
    <hyperlink ref="D22" location="'Nota 8'!A1" display="Nota 8" xr:uid="{00000000-0004-0000-0000-00000A000000}"/>
    <hyperlink ref="D23" location="'Nota 9'!A1" display="Nota 9" xr:uid="{00000000-0004-0000-0000-00000B000000}"/>
    <hyperlink ref="D24" location="'Nota 10'!A1" display="Nota 10" xr:uid="{00000000-0004-0000-0000-00000C000000}"/>
    <hyperlink ref="D25" location="'Nota 11'!A1" display="Nota 11" xr:uid="{00000000-0004-0000-0000-00000D000000}"/>
    <hyperlink ref="D26" location="'Nota 12'!A1" display="Nota 12" xr:uid="{00000000-0004-0000-0000-00000E000000}"/>
    <hyperlink ref="D27" location="'Nota 13'!A1" display="Nota 13" xr:uid="{00000000-0004-0000-0000-00000F000000}"/>
    <hyperlink ref="D28" location="'Nota 14'!A1" display="Nota 14" xr:uid="{00000000-0004-0000-0000-000010000000}"/>
    <hyperlink ref="D29" location="'Nota 15'!A1" display="Nota 15" xr:uid="{00000000-0004-0000-0000-000011000000}"/>
    <hyperlink ref="D30" location="'Nota 16'!A1" display="Nota 16" xr:uid="{00000000-0004-0000-0000-000012000000}"/>
    <hyperlink ref="D31" location="'Nota 17'!A1" display="Nota 17" xr:uid="{00000000-0004-0000-0000-000013000000}"/>
    <hyperlink ref="D32" location="'Nota 18'!A1" display="Nota 18" xr:uid="{00000000-0004-0000-0000-000014000000}"/>
    <hyperlink ref="D33" location="'Nota 19'!A1" display="Nota 19" xr:uid="{00000000-0004-0000-0000-000015000000}"/>
    <hyperlink ref="D34" location="'Nota 14'!A1" display="Nota 14" xr:uid="{00000000-0004-0000-0000-000016000000}"/>
    <hyperlink ref="D35" location="'Nota 19'!A1" display="Nota 19" xr:uid="{00000000-0004-0000-0000-000017000000}"/>
    <hyperlink ref="D36" location="'Nota 20'!A1" display="Nota 20" xr:uid="{00000000-0004-0000-0000-000018000000}"/>
    <hyperlink ref="D37" location="' Nota 21'!A1" display="Nota 21" xr:uid="{00000000-0004-0000-0000-000019000000}"/>
    <hyperlink ref="D38" location="' Nota 21'!A1" display="Nota 21" xr:uid="{00000000-0004-0000-0000-00001A000000}"/>
    <hyperlink ref="D39" location="' Nota 21'!A1" display="Nota 21" xr:uid="{00000000-0004-0000-0000-00001B000000}"/>
    <hyperlink ref="D40" location="' Nota 21'!A1" display="Nota 21" xr:uid="{00000000-0004-0000-0000-00001C000000}"/>
    <hyperlink ref="D41" location="'Nota 22'!A1" display="Nota 22" xr:uid="{00000000-0004-0000-0000-00001D000000}"/>
    <hyperlink ref="D42" location="'Nota 23'!A1" display="Nota 23" xr:uid="{00000000-0004-0000-0000-00001E000000}"/>
    <hyperlink ref="D43" location="'Nota 24'!A1" display="Nota 24" xr:uid="{00000000-0004-0000-0000-00001F000000}"/>
    <hyperlink ref="D44" location="ER!A1" display="ER" xr:uid="{00000000-0004-0000-0000-000020000000}"/>
    <hyperlink ref="D45" location="'Nota 25'!A1" display="Nota 25" xr:uid="{00000000-0004-0000-0000-000021000000}"/>
    <hyperlink ref="D46" location="'Nota 26'!A1" display="Nota 26" xr:uid="{00000000-0004-0000-0000-000022000000}"/>
    <hyperlink ref="D47" location="'Nota 27'!A1" display="Nota 27" xr:uid="{00000000-0004-0000-0000-000023000000}"/>
    <hyperlink ref="D48" location="'Nota 27'!A1" display="Nota 27" xr:uid="{00000000-0004-0000-0000-000024000000}"/>
    <hyperlink ref="D49" location="'Nota 28'!A1" display="Nota 28" xr:uid="{00000000-0004-0000-0000-000025000000}"/>
    <hyperlink ref="D50" location="'Nota 29'!A1" display="Nota 29" xr:uid="{00000000-0004-0000-0000-000026000000}"/>
    <hyperlink ref="D51" location="'Nota 29'!A1" display="Nota 29" xr:uid="{00000000-0004-0000-0000-000027000000}"/>
    <hyperlink ref="D52" location="'Nota 30'!A1" display="Nota 30" xr:uid="{00000000-0004-0000-0000-000028000000}"/>
    <hyperlink ref="D53" location="'Nota 31'!A1" display="Nota 31" xr:uid="{00000000-0004-0000-0000-000029000000}"/>
    <hyperlink ref="D54" location="'Nota 32'!A1" display="Nota 32" xr:uid="{00000000-0004-0000-0000-00002A000000}"/>
    <hyperlink ref="D55" location="'Nota 33'!A1" display="Nota 33" xr:uid="{00000000-0004-0000-0000-00002B000000}"/>
    <hyperlink ref="D56" location="'Nota 34'!A1" display="Nota 34" xr:uid="{00000000-0004-0000-0000-00002C000000}"/>
    <hyperlink ref="D57" location="'Nota 35'!A1" display="Nota 35" xr:uid="{00000000-0004-0000-0000-00002D000000}"/>
    <hyperlink ref="D58" location="'Nota 35'!A1" display="Nota 35" xr:uid="{00000000-0004-0000-0000-00002E000000}"/>
    <hyperlink ref="D59" location="EVPN!A1" display="EVPN" xr:uid="{00000000-0004-0000-0000-00002F000000}"/>
    <hyperlink ref="D60" location="EFE!A1" display="EFE" xr:uid="{00000000-0004-0000-0000-000030000000}"/>
    <hyperlink ref="D62" location="'Nota 36'!A1" display="Nota 36" xr:uid="{00000000-0004-0000-0000-000031000000}"/>
    <hyperlink ref="D63" location="'Nota 37'!A1" display="Nota 37" xr:uid="{00000000-0004-0000-0000-000032000000}"/>
    <hyperlink ref="D64" location="'Nota 38'!A1" display="Nota 38" xr:uid="{00000000-0004-0000-0000-000033000000}"/>
    <hyperlink ref="D65" location="'Nota 39'!A1" display="Nota 39" xr:uid="{00000000-0004-0000-0000-000034000000}"/>
    <hyperlink ref="D66" location="'Nota 40'!A1" display="Nota 40" xr:uid="{00000000-0004-0000-0000-000035000000}"/>
  </hyperlinks>
  <pageMargins left="0.7" right="0.7" top="0.75" bottom="0.75" header="0.511811023622047" footer="0.511811023622047"/>
  <pageSetup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D15"/>
  <sheetViews>
    <sheetView showGridLines="0" topLeftCell="A3" zoomScaleNormal="100" workbookViewId="0">
      <selection activeCell="A20" activeCellId="1" sqref="A166:A259 A20"/>
    </sheetView>
  </sheetViews>
  <sheetFormatPr baseColWidth="10" defaultColWidth="10.54296875" defaultRowHeight="14.5"/>
  <cols>
    <col min="1" max="1" width="72.81640625" customWidth="1"/>
    <col min="2" max="2" width="16.1796875" customWidth="1"/>
    <col min="3" max="3" width="18.1796875" customWidth="1"/>
    <col min="6" max="30" width="11.453125" style="162" customWidth="1"/>
  </cols>
  <sheetData>
    <row r="1" spans="1:4" ht="25">
      <c r="A1" s="297" t="str">
        <f>Indice!C1</f>
        <v>KUROSU &amp; CIA. S.A.</v>
      </c>
      <c r="B1" s="162"/>
      <c r="C1" s="162"/>
      <c r="D1" s="298" t="s">
        <v>23</v>
      </c>
    </row>
    <row r="2" spans="1:4">
      <c r="A2" s="162"/>
      <c r="B2" s="162"/>
      <c r="C2" s="162"/>
      <c r="D2" s="162"/>
    </row>
    <row r="3" spans="1:4">
      <c r="A3" s="162"/>
      <c r="B3" s="162"/>
      <c r="C3" s="162"/>
      <c r="D3" s="162"/>
    </row>
    <row r="4" spans="1:4">
      <c r="A4" s="764" t="s">
        <v>388</v>
      </c>
      <c r="B4" s="764"/>
      <c r="C4" s="764"/>
      <c r="D4" s="162"/>
    </row>
    <row r="5" spans="1:4">
      <c r="A5" s="287" t="s">
        <v>378</v>
      </c>
      <c r="B5" s="143"/>
      <c r="C5" s="143"/>
      <c r="D5" s="162"/>
    </row>
    <row r="6" spans="1:4">
      <c r="A6" s="170" t="s">
        <v>379</v>
      </c>
      <c r="B6" s="143"/>
      <c r="C6" s="143"/>
      <c r="D6" s="162"/>
    </row>
    <row r="7" spans="1:4">
      <c r="A7" s="170"/>
      <c r="B7" s="765" t="s">
        <v>378</v>
      </c>
      <c r="C7" s="765"/>
      <c r="D7" s="162"/>
    </row>
    <row r="8" spans="1:4">
      <c r="A8" s="288" t="s">
        <v>380</v>
      </c>
      <c r="B8" s="241">
        <f>IFERROR(IF(Indice!B8="","2XX2",YEAR(Indice!B8)),"2XX2")</f>
        <v>2025</v>
      </c>
      <c r="C8" s="241">
        <f>IFERROR(YEAR(Indice!B8-365),"2XX1")</f>
        <v>2024</v>
      </c>
      <c r="D8" s="162"/>
    </row>
    <row r="9" spans="1:4">
      <c r="A9" s="162" t="s">
        <v>389</v>
      </c>
      <c r="B9" s="300">
        <v>2110121535</v>
      </c>
      <c r="C9" s="300">
        <v>2572057746</v>
      </c>
      <c r="D9" s="162"/>
    </row>
    <row r="10" spans="1:4" s="162" customFormat="1">
      <c r="A10" s="162" t="s">
        <v>390</v>
      </c>
      <c r="B10" s="300">
        <v>1598305090</v>
      </c>
      <c r="C10" s="300">
        <v>2561870849</v>
      </c>
    </row>
    <row r="11" spans="1:4">
      <c r="A11" s="162" t="s">
        <v>391</v>
      </c>
      <c r="B11" s="300">
        <v>4468247087</v>
      </c>
      <c r="C11" s="300">
        <v>4339250239</v>
      </c>
      <c r="D11" s="162"/>
    </row>
    <row r="12" spans="1:4">
      <c r="A12" s="162" t="s">
        <v>392</v>
      </c>
      <c r="B12" s="300">
        <v>17508541463</v>
      </c>
      <c r="C12" s="300">
        <v>20824023115</v>
      </c>
      <c r="D12" s="162"/>
    </row>
    <row r="13" spans="1:4">
      <c r="A13" s="162" t="s">
        <v>393</v>
      </c>
      <c r="B13" s="300">
        <v>18012436465</v>
      </c>
      <c r="C13" s="300">
        <v>21320218465</v>
      </c>
      <c r="D13" s="162"/>
    </row>
    <row r="14" spans="1:4">
      <c r="A14" s="162" t="s">
        <v>394</v>
      </c>
      <c r="B14" s="300">
        <v>8408214043</v>
      </c>
      <c r="C14" s="300">
        <v>416277966</v>
      </c>
      <c r="D14" s="162"/>
    </row>
    <row r="15" spans="1:4">
      <c r="A15" s="295" t="s">
        <v>257</v>
      </c>
      <c r="B15" s="301">
        <f>SUM(B9:B14)</f>
        <v>52105865683</v>
      </c>
      <c r="C15" s="301">
        <f>SUM(C9:C14)</f>
        <v>52033698380</v>
      </c>
      <c r="D15" s="162"/>
    </row>
  </sheetData>
  <mergeCells count="2">
    <mergeCell ref="A4:C4"/>
    <mergeCell ref="B7:C7"/>
  </mergeCells>
  <hyperlinks>
    <hyperlink ref="D1" location="BG!A1" display="BG" xr:uid="{00000000-0004-0000-0900-000000000000}"/>
  </hyperlink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J42"/>
  <sheetViews>
    <sheetView showGridLines="0" topLeftCell="D12" zoomScaleNormal="100" workbookViewId="0">
      <selection activeCell="H18" activeCellId="1" sqref="A166:A259 H18"/>
    </sheetView>
  </sheetViews>
  <sheetFormatPr baseColWidth="10" defaultColWidth="11.453125" defaultRowHeight="14.5"/>
  <cols>
    <col min="1" max="1" width="40.1796875" style="143" customWidth="1"/>
    <col min="2" max="2" width="27.81640625" style="143" customWidth="1"/>
    <col min="3" max="3" width="25.453125" style="143" customWidth="1"/>
    <col min="4" max="4" width="19.54296875" style="143" customWidth="1"/>
    <col min="5" max="5" width="4.81640625" style="143" customWidth="1"/>
    <col min="6" max="6" width="61.54296875" style="143" customWidth="1"/>
    <col min="7" max="7" width="18" style="143" customWidth="1"/>
    <col min="8" max="8" width="27.81640625" style="143" customWidth="1"/>
    <col min="9" max="9" width="17.81640625" style="143" customWidth="1"/>
    <col min="10" max="10" width="17.1796875" style="143" customWidth="1"/>
    <col min="11" max="11" width="12.453125" style="143" customWidth="1"/>
    <col min="12" max="1024" width="11.453125" style="143"/>
  </cols>
  <sheetData>
    <row r="1" spans="1:8" ht="25">
      <c r="A1" s="297" t="str">
        <f>Indice!C1</f>
        <v>KUROSU &amp; CIA. S.A.</v>
      </c>
      <c r="F1" s="298" t="s">
        <v>23</v>
      </c>
    </row>
    <row r="2" spans="1:8">
      <c r="A2" s="302"/>
      <c r="F2" s="298"/>
    </row>
    <row r="3" spans="1:8">
      <c r="A3" s="303" t="s">
        <v>395</v>
      </c>
      <c r="B3" s="303"/>
      <c r="F3" s="298"/>
    </row>
    <row r="4" spans="1:8">
      <c r="A4" s="304" t="s">
        <v>396</v>
      </c>
      <c r="B4" s="303"/>
      <c r="F4" s="298"/>
    </row>
    <row r="5" spans="1:8">
      <c r="C5" s="305"/>
    </row>
    <row r="6" spans="1:8">
      <c r="A6" s="212" t="s">
        <v>397</v>
      </c>
      <c r="B6" s="212"/>
      <c r="C6" s="272"/>
      <c r="D6" s="272"/>
      <c r="E6" s="272"/>
    </row>
    <row r="7" spans="1:8">
      <c r="A7" s="287" t="s">
        <v>378</v>
      </c>
      <c r="B7" s="163"/>
      <c r="C7" s="163"/>
      <c r="D7" s="163"/>
      <c r="E7" s="163"/>
    </row>
    <row r="8" spans="1:8">
      <c r="A8" s="5" t="s">
        <v>398</v>
      </c>
      <c r="B8" s="5"/>
      <c r="E8" s="305"/>
    </row>
    <row r="9" spans="1:8">
      <c r="C9" s="766" t="s">
        <v>378</v>
      </c>
      <c r="D9" s="766"/>
      <c r="E9" s="305"/>
    </row>
    <row r="10" spans="1:8">
      <c r="C10" s="306">
        <f>IFERROR(IF(Indice!B8="","2XX2",YEAR(Indice!B8)),"2XX2")</f>
        <v>2025</v>
      </c>
      <c r="D10" s="306">
        <f>IFERROR(YEAR(Indice!B8-365),"2XX1")</f>
        <v>2024</v>
      </c>
      <c r="E10" s="305"/>
      <c r="F10" s="307" t="s">
        <v>399</v>
      </c>
      <c r="G10" s="308">
        <f>IFERROR(IF(Indice!B8="","2XX2",YEAR(Indice!B8)),"2XX2")</f>
        <v>2025</v>
      </c>
      <c r="H10" s="309"/>
    </row>
    <row r="11" spans="1:8">
      <c r="A11" s="310" t="s">
        <v>400</v>
      </c>
      <c r="B11" s="310" t="s">
        <v>401</v>
      </c>
      <c r="C11" s="311">
        <v>25044056390</v>
      </c>
      <c r="D11" s="311">
        <v>22132914449</v>
      </c>
      <c r="E11" s="305"/>
      <c r="F11" s="312" t="s">
        <v>402</v>
      </c>
      <c r="G11" s="313" t="s">
        <v>403</v>
      </c>
      <c r="H11" s="313" t="s">
        <v>404</v>
      </c>
    </row>
    <row r="12" spans="1:8">
      <c r="A12" s="310" t="s">
        <v>400</v>
      </c>
      <c r="B12" s="51" t="s">
        <v>405</v>
      </c>
      <c r="C12" s="311">
        <v>252034333224</v>
      </c>
      <c r="D12" s="311">
        <v>241800792039</v>
      </c>
      <c r="E12" s="305"/>
      <c r="F12" s="314" t="s">
        <v>406</v>
      </c>
      <c r="G12" s="315">
        <v>349481715410.46002</v>
      </c>
      <c r="H12" s="316">
        <v>0</v>
      </c>
    </row>
    <row r="13" spans="1:8">
      <c r="A13" s="310" t="s">
        <v>407</v>
      </c>
      <c r="B13" s="51" t="s">
        <v>401</v>
      </c>
      <c r="C13" s="311">
        <v>3662646134</v>
      </c>
      <c r="D13" s="311">
        <v>4791917445</v>
      </c>
      <c r="E13" s="305"/>
      <c r="F13" s="317" t="s">
        <v>408</v>
      </c>
      <c r="G13" s="315">
        <v>13834078434</v>
      </c>
      <c r="H13" s="318">
        <f>H17+H16+H15</f>
        <v>0.81680000000000008</v>
      </c>
    </row>
    <row r="14" spans="1:8">
      <c r="A14" s="310" t="s">
        <v>407</v>
      </c>
      <c r="B14" s="51" t="s">
        <v>405</v>
      </c>
      <c r="C14" s="311">
        <v>24413325506</v>
      </c>
      <c r="D14" s="311">
        <v>38455086217</v>
      </c>
      <c r="E14" s="305"/>
      <c r="F14" s="319" t="s">
        <v>409</v>
      </c>
      <c r="G14" s="320"/>
      <c r="H14" s="321"/>
    </row>
    <row r="15" spans="1:8">
      <c r="A15" s="310" t="s">
        <v>410</v>
      </c>
      <c r="B15" s="51" t="s">
        <v>401</v>
      </c>
      <c r="C15" s="322">
        <v>-10315055162</v>
      </c>
      <c r="D15" s="322">
        <v>-9985196106</v>
      </c>
      <c r="E15" s="305"/>
      <c r="F15" s="310" t="s">
        <v>411</v>
      </c>
      <c r="G15" s="323">
        <v>2702498067</v>
      </c>
      <c r="H15" s="324">
        <f>G15*81.68%/G13</f>
        <v>0.15956252031219331</v>
      </c>
    </row>
    <row r="16" spans="1:8">
      <c r="A16" s="310" t="s">
        <v>412</v>
      </c>
      <c r="B16" s="51" t="s">
        <v>401</v>
      </c>
      <c r="C16" s="311">
        <v>1643454443</v>
      </c>
      <c r="D16" s="311">
        <v>814709000</v>
      </c>
      <c r="E16" s="305"/>
      <c r="F16" s="310" t="s">
        <v>413</v>
      </c>
      <c r="G16" s="323">
        <v>9908479925</v>
      </c>
      <c r="H16" s="325">
        <f>G16*81.68%/G13</f>
        <v>0.58502244593678443</v>
      </c>
    </row>
    <row r="17" spans="1:8">
      <c r="A17" s="310" t="s">
        <v>412</v>
      </c>
      <c r="B17" s="51" t="s">
        <v>405</v>
      </c>
      <c r="C17" s="311">
        <v>319496730</v>
      </c>
      <c r="D17" s="311">
        <v>275629077</v>
      </c>
      <c r="E17" s="305"/>
      <c r="F17" s="310" t="s">
        <v>414</v>
      </c>
      <c r="G17" s="323">
        <v>1223100442</v>
      </c>
      <c r="H17" s="325">
        <f>G17*81.68%/G13</f>
        <v>7.2215033751022326E-2</v>
      </c>
    </row>
    <row r="18" spans="1:8">
      <c r="A18" s="310" t="s">
        <v>415</v>
      </c>
      <c r="B18" s="310" t="s">
        <v>405</v>
      </c>
      <c r="C18" s="311">
        <v>5714220788</v>
      </c>
      <c r="D18" s="311">
        <v>5676762835</v>
      </c>
      <c r="E18" s="305"/>
      <c r="F18" s="326"/>
      <c r="G18" s="327"/>
      <c r="H18" s="328"/>
    </row>
    <row r="19" spans="1:8">
      <c r="A19" s="310" t="s">
        <v>416</v>
      </c>
      <c r="B19" s="310" t="s">
        <v>401</v>
      </c>
      <c r="C19" s="311">
        <v>26552492</v>
      </c>
      <c r="D19" s="311">
        <v>7062670</v>
      </c>
      <c r="E19" s="305"/>
      <c r="F19" s="329" t="s">
        <v>417</v>
      </c>
      <c r="G19" s="330">
        <f>G12+G13</f>
        <v>363315793844.46002</v>
      </c>
      <c r="H19" s="331"/>
    </row>
    <row r="20" spans="1:8">
      <c r="A20" s="310" t="s">
        <v>418</v>
      </c>
      <c r="B20" s="310" t="s">
        <v>401</v>
      </c>
      <c r="C20" s="322">
        <v>-11299756418</v>
      </c>
      <c r="D20" s="322">
        <v>-10049756417</v>
      </c>
      <c r="E20" s="305"/>
      <c r="F20" s="326"/>
      <c r="G20" s="327"/>
      <c r="H20" s="328"/>
    </row>
    <row r="21" spans="1:8">
      <c r="A21" s="332" t="s">
        <v>257</v>
      </c>
      <c r="B21" s="332"/>
      <c r="C21" s="333">
        <f>+SUM(C11:C20)</f>
        <v>291243274127</v>
      </c>
      <c r="D21" s="333">
        <f>+SUM(D11:D20)</f>
        <v>293919921209</v>
      </c>
      <c r="E21" s="305"/>
      <c r="F21" s="334" t="s">
        <v>419</v>
      </c>
      <c r="G21" s="335">
        <f>C20</f>
        <v>-11299756418</v>
      </c>
      <c r="H21" s="336"/>
    </row>
    <row r="22" spans="1:8">
      <c r="C22" s="5"/>
      <c r="E22" s="305"/>
      <c r="F22" s="326"/>
      <c r="G22" s="337"/>
      <c r="H22" s="338"/>
    </row>
    <row r="23" spans="1:8">
      <c r="C23" s="5"/>
      <c r="E23" s="305"/>
      <c r="F23" s="339" t="s">
        <v>420</v>
      </c>
      <c r="G23" s="340">
        <f>G19+G21</f>
        <v>352016037426.46002</v>
      </c>
      <c r="H23" s="323"/>
    </row>
    <row r="24" spans="1:8">
      <c r="C24" s="5"/>
      <c r="E24" s="305"/>
      <c r="G24" s="341"/>
    </row>
    <row r="25" spans="1:8" ht="15" customHeight="1">
      <c r="A25" s="5" t="s">
        <v>421</v>
      </c>
      <c r="B25" s="5"/>
      <c r="E25" s="305"/>
      <c r="F25" s="332" t="s">
        <v>422</v>
      </c>
    </row>
    <row r="26" spans="1:8">
      <c r="C26" s="766" t="s">
        <v>378</v>
      </c>
      <c r="D26" s="766"/>
      <c r="E26" s="305"/>
      <c r="F26" s="342" t="s">
        <v>423</v>
      </c>
      <c r="G26" s="343" t="s">
        <v>424</v>
      </c>
      <c r="H26" s="343" t="s">
        <v>425</v>
      </c>
    </row>
    <row r="27" spans="1:8">
      <c r="C27" s="306">
        <f>IFERROR(IF(Indice!B8="","2XX2",YEAR(Indice!B8)),"2XX2")</f>
        <v>2025</v>
      </c>
      <c r="D27" s="306">
        <f>IFERROR(YEAR(Indice!B8-365),"2XX1")</f>
        <v>2024</v>
      </c>
      <c r="E27" s="305"/>
      <c r="F27" s="326" t="s">
        <v>411</v>
      </c>
      <c r="G27" s="344">
        <v>1</v>
      </c>
      <c r="H27" s="344">
        <v>90</v>
      </c>
    </row>
    <row r="28" spans="1:8">
      <c r="A28" s="310" t="s">
        <v>400</v>
      </c>
      <c r="B28" s="310" t="s">
        <v>401</v>
      </c>
      <c r="C28" s="311">
        <v>5243075610</v>
      </c>
      <c r="D28" s="311">
        <v>5548075610</v>
      </c>
      <c r="E28" s="305"/>
      <c r="F28" s="326" t="s">
        <v>413</v>
      </c>
      <c r="G28" s="345">
        <v>91</v>
      </c>
      <c r="H28" s="345">
        <v>1000</v>
      </c>
    </row>
    <row r="29" spans="1:8">
      <c r="A29" s="310" t="s">
        <v>400</v>
      </c>
      <c r="B29" s="310" t="s">
        <v>405</v>
      </c>
      <c r="C29" s="311">
        <v>80994328620</v>
      </c>
      <c r="D29" s="346">
        <v>69868171823</v>
      </c>
      <c r="E29" s="305"/>
      <c r="F29" s="326" t="s">
        <v>414</v>
      </c>
      <c r="G29" s="345">
        <v>1001</v>
      </c>
      <c r="H29" s="345" t="s">
        <v>426</v>
      </c>
    </row>
    <row r="30" spans="1:8">
      <c r="A30" s="310" t="s">
        <v>410</v>
      </c>
      <c r="B30" s="310" t="s">
        <v>401</v>
      </c>
      <c r="C30" s="347">
        <v>-10522828183</v>
      </c>
      <c r="D30" s="347">
        <v>-8806510729</v>
      </c>
      <c r="E30" s="305"/>
    </row>
    <row r="31" spans="1:8">
      <c r="A31" s="310" t="s">
        <v>412</v>
      </c>
      <c r="B31" s="310" t="s">
        <v>401</v>
      </c>
      <c r="C31" s="311">
        <v>5577660212</v>
      </c>
      <c r="D31" s="311">
        <v>6464863944</v>
      </c>
      <c r="E31" s="305"/>
    </row>
    <row r="32" spans="1:8">
      <c r="A32" s="310" t="s">
        <v>412</v>
      </c>
      <c r="B32" s="310" t="s">
        <v>405</v>
      </c>
      <c r="C32" s="311">
        <v>1097614561</v>
      </c>
      <c r="D32" s="311">
        <v>1163200394</v>
      </c>
      <c r="E32" s="305"/>
    </row>
    <row r="33" spans="1:8">
      <c r="A33" s="332" t="s">
        <v>257</v>
      </c>
      <c r="B33" s="332"/>
      <c r="C33" s="348">
        <f>+SUM(C28:C32)</f>
        <v>82389850820</v>
      </c>
      <c r="D33" s="333">
        <f>+SUM(D28:D32)</f>
        <v>74237801042</v>
      </c>
      <c r="E33" s="305"/>
      <c r="F33" s="767"/>
      <c r="G33" s="767"/>
      <c r="H33" s="767"/>
    </row>
    <row r="41" spans="1:8">
      <c r="G41" s="768"/>
      <c r="H41" s="768"/>
    </row>
    <row r="42" spans="1:8">
      <c r="G42" s="768"/>
      <c r="H42" s="768"/>
    </row>
  </sheetData>
  <mergeCells count="5">
    <mergeCell ref="C9:D9"/>
    <mergeCell ref="C26:D26"/>
    <mergeCell ref="F33:H33"/>
    <mergeCell ref="G41:H41"/>
    <mergeCell ref="G42:H42"/>
  </mergeCells>
  <hyperlinks>
    <hyperlink ref="F1" location="BG!A1" display="BG" xr:uid="{00000000-0004-0000-0A00-000000000000}"/>
  </hyperlinks>
  <pageMargins left="0.70833333333333304" right="0.70833333333333304" top="0.74791666666666701" bottom="0.74791666666666701" header="0.511811023622047" footer="0.511811023622047"/>
  <pageSetup paperSize="5" scale="8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J22"/>
  <sheetViews>
    <sheetView showGridLines="0" topLeftCell="A6" zoomScaleNormal="100" workbookViewId="0">
      <selection activeCell="B12" sqref="B12"/>
    </sheetView>
  </sheetViews>
  <sheetFormatPr baseColWidth="10" defaultColWidth="11.453125" defaultRowHeight="14.5"/>
  <cols>
    <col min="1" max="1" width="44.1796875" style="5" customWidth="1"/>
    <col min="2" max="2" width="20.81640625" style="5" customWidth="1"/>
    <col min="3" max="3" width="16.1796875" style="5" customWidth="1"/>
    <col min="4" max="4" width="3.453125" style="5" customWidth="1"/>
    <col min="5" max="5" width="38.81640625" style="5" customWidth="1"/>
    <col min="6" max="6" width="18.1796875" style="5" customWidth="1"/>
    <col min="7" max="7" width="14.1796875" style="5" customWidth="1"/>
    <col min="8" max="1024" width="11.453125" style="5"/>
  </cols>
  <sheetData>
    <row r="1" spans="1:7" ht="25">
      <c r="A1" s="349" t="str">
        <f>Indice!C1</f>
        <v>KUROSU &amp; CIA. S.A.</v>
      </c>
      <c r="D1" s="211" t="s">
        <v>23</v>
      </c>
    </row>
    <row r="2" spans="1:7">
      <c r="A2" s="213"/>
    </row>
    <row r="3" spans="1:7">
      <c r="A3" s="213"/>
    </row>
    <row r="4" spans="1:7">
      <c r="A4" s="212" t="s">
        <v>427</v>
      </c>
      <c r="B4" s="212"/>
      <c r="C4" s="212"/>
    </row>
    <row r="5" spans="1:7">
      <c r="A5" s="5" t="s">
        <v>378</v>
      </c>
      <c r="B5" s="350"/>
    </row>
    <row r="6" spans="1:7">
      <c r="A6" s="5" t="s">
        <v>428</v>
      </c>
    </row>
    <row r="8" spans="1:7">
      <c r="A8" s="302" t="s">
        <v>429</v>
      </c>
      <c r="B8" s="143"/>
      <c r="C8" s="143"/>
      <c r="E8" s="302" t="s">
        <v>430</v>
      </c>
      <c r="F8" s="351"/>
      <c r="G8" s="143"/>
    </row>
    <row r="9" spans="1:7">
      <c r="A9" s="143"/>
      <c r="E9" s="143"/>
      <c r="F9" s="299"/>
      <c r="G9" s="299"/>
    </row>
    <row r="10" spans="1:7">
      <c r="A10" s="352" t="s">
        <v>380</v>
      </c>
      <c r="B10" s="353">
        <f>IFERROR(IF(Indice!B8="","2XX2",YEAR(Indice!B8)),"2XX2")</f>
        <v>2025</v>
      </c>
      <c r="C10" s="353">
        <f>IFERROR(YEAR(Indice!B8-365),"2XX1")</f>
        <v>2024</v>
      </c>
      <c r="E10" s="352" t="s">
        <v>380</v>
      </c>
      <c r="F10" s="353">
        <f>IFERROR(IF(Indice!B8="","2XX2",YEAR(Indice!B8)),"2XX2")</f>
        <v>2025</v>
      </c>
      <c r="G10" s="353">
        <f>IFERROR(YEAR(Indice!B8-365),"2XX1")</f>
        <v>2024</v>
      </c>
    </row>
    <row r="11" spans="1:7">
      <c r="A11" s="143" t="s">
        <v>431</v>
      </c>
      <c r="B11" s="354">
        <v>872030917</v>
      </c>
      <c r="C11" s="354">
        <v>1540593053</v>
      </c>
      <c r="E11" s="143" t="s">
        <v>432</v>
      </c>
      <c r="F11" s="354">
        <v>514147329</v>
      </c>
      <c r="G11" s="354">
        <v>514147329</v>
      </c>
    </row>
    <row r="12" spans="1:7">
      <c r="A12" s="143" t="s">
        <v>433</v>
      </c>
      <c r="B12" s="354">
        <v>30460328905</v>
      </c>
      <c r="C12" s="354">
        <v>77077015562</v>
      </c>
      <c r="E12" s="143" t="s">
        <v>434</v>
      </c>
      <c r="F12" s="354">
        <v>3636984956</v>
      </c>
      <c r="G12" s="354">
        <v>2914192736</v>
      </c>
    </row>
    <row r="13" spans="1:7">
      <c r="A13" s="143" t="s">
        <v>434</v>
      </c>
      <c r="B13" s="354">
        <v>6917472984</v>
      </c>
      <c r="C13" s="354">
        <v>3471005812</v>
      </c>
      <c r="E13" s="302" t="s">
        <v>257</v>
      </c>
      <c r="F13" s="355">
        <f>SUM(F11:F12)</f>
        <v>4151132285</v>
      </c>
      <c r="G13" s="355">
        <f>SUM(G11:G12)</f>
        <v>3428340065</v>
      </c>
    </row>
    <row r="14" spans="1:7">
      <c r="A14" s="143" t="s">
        <v>435</v>
      </c>
      <c r="B14" s="354">
        <v>873422596</v>
      </c>
      <c r="C14" s="354">
        <v>0</v>
      </c>
    </row>
    <row r="15" spans="1:7">
      <c r="A15" s="143" t="s">
        <v>436</v>
      </c>
      <c r="B15" s="354">
        <v>0</v>
      </c>
      <c r="C15" s="354">
        <v>2477076144</v>
      </c>
    </row>
    <row r="16" spans="1:7">
      <c r="A16" s="143" t="s">
        <v>437</v>
      </c>
      <c r="B16" s="356">
        <v>2552756</v>
      </c>
      <c r="C16" s="57">
        <v>4170843330</v>
      </c>
    </row>
    <row r="17" spans="1:3">
      <c r="A17" s="143" t="s">
        <v>438</v>
      </c>
      <c r="B17" s="356">
        <v>0</v>
      </c>
      <c r="C17" s="57">
        <v>9104106</v>
      </c>
    </row>
    <row r="18" spans="1:3">
      <c r="A18" s="143" t="s">
        <v>439</v>
      </c>
      <c r="B18" s="356">
        <v>0</v>
      </c>
      <c r="C18" s="57">
        <v>2916688</v>
      </c>
    </row>
    <row r="19" spans="1:3">
      <c r="A19" s="143" t="s">
        <v>440</v>
      </c>
      <c r="B19" s="356">
        <v>12227620</v>
      </c>
      <c r="C19" s="57">
        <v>20379369</v>
      </c>
    </row>
    <row r="20" spans="1:3">
      <c r="A20" s="302" t="s">
        <v>257</v>
      </c>
      <c r="B20" s="355">
        <f>SUM(B11:B19)</f>
        <v>39138035778</v>
      </c>
      <c r="C20" s="355">
        <f>SUM(C11:C19)</f>
        <v>88768934064</v>
      </c>
    </row>
    <row r="22" spans="1:3">
      <c r="C22" s="57"/>
    </row>
  </sheetData>
  <hyperlinks>
    <hyperlink ref="D1" location="BG!A1" display="BG" xr:uid="{00000000-0004-0000-0B00-000000000000}"/>
  </hyperlinks>
  <pageMargins left="0.70833333333333304" right="0.70833333333333304" top="0.74791666666666701" bottom="0.74791666666666701" header="0.511811023622047" footer="0.511811023622047"/>
  <pageSetup paperSize="5" scale="8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1"/>
  <sheetViews>
    <sheetView showGridLines="0" zoomScaleNormal="100" workbookViewId="0">
      <selection activeCell="D15" activeCellId="1" sqref="A166:A259 D15"/>
    </sheetView>
  </sheetViews>
  <sheetFormatPr baseColWidth="10" defaultColWidth="10.54296875" defaultRowHeight="14.5"/>
  <cols>
    <col min="1" max="1" width="50.1796875" customWidth="1"/>
    <col min="2" max="2" width="19" customWidth="1"/>
    <col min="3" max="3" width="16.54296875" customWidth="1"/>
  </cols>
  <sheetData>
    <row r="1" spans="1:7" ht="25">
      <c r="A1" s="144" t="str">
        <f>Indice!C1</f>
        <v>KUROSU &amp; CIA. S.A.</v>
      </c>
      <c r="D1" s="211" t="s">
        <v>23</v>
      </c>
    </row>
    <row r="4" spans="1:7">
      <c r="A4" s="769" t="s">
        <v>441</v>
      </c>
      <c r="B4" s="769"/>
      <c r="C4" s="769"/>
    </row>
    <row r="5" spans="1:7">
      <c r="A5" s="5" t="s">
        <v>378</v>
      </c>
    </row>
    <row r="6" spans="1:7">
      <c r="A6" s="770" t="s">
        <v>442</v>
      </c>
      <c r="B6" s="770"/>
      <c r="C6" s="770"/>
      <c r="D6" s="770"/>
      <c r="E6" s="770"/>
      <c r="F6" s="770"/>
      <c r="G6" s="770"/>
    </row>
    <row r="7" spans="1:7" ht="15" customHeight="1">
      <c r="B7" s="771" t="s">
        <v>378</v>
      </c>
      <c r="C7" s="771"/>
    </row>
    <row r="8" spans="1:7">
      <c r="A8" s="352" t="s">
        <v>380</v>
      </c>
      <c r="B8" s="353">
        <f>IFERROR(IF(Indice!B8="","2XX2",YEAR(Indice!B8)),"2XX2")</f>
        <v>2025</v>
      </c>
      <c r="C8" s="353">
        <f>IFERROR(YEAR(Indice!B8-365),"2XX1")</f>
        <v>2024</v>
      </c>
    </row>
    <row r="9" spans="1:7">
      <c r="A9" s="358" t="s">
        <v>443</v>
      </c>
      <c r="B9" s="359">
        <v>707237767711</v>
      </c>
      <c r="C9" s="360">
        <v>734188098722</v>
      </c>
    </row>
    <row r="10" spans="1:7">
      <c r="A10" s="361" t="s">
        <v>444</v>
      </c>
      <c r="B10" s="359">
        <v>-10954631487</v>
      </c>
      <c r="C10" s="359">
        <v>-10255228821</v>
      </c>
    </row>
    <row r="11" spans="1:7">
      <c r="A11" s="302" t="s">
        <v>445</v>
      </c>
      <c r="B11" s="362">
        <f>SUM(B9:B10)</f>
        <v>696283136224</v>
      </c>
      <c r="C11" s="362">
        <f>SUM(C9:C10)</f>
        <v>723932869901</v>
      </c>
    </row>
  </sheetData>
  <mergeCells count="3">
    <mergeCell ref="A4:C4"/>
    <mergeCell ref="A6:G6"/>
    <mergeCell ref="B7:C7"/>
  </mergeCells>
  <hyperlinks>
    <hyperlink ref="D1" location="BG!A1" display="BG" xr:uid="{00000000-0004-0000-0C00-000000000000}"/>
  </hyperlinks>
  <pageMargins left="0.70833333333333304" right="0.70833333333333304" top="0.74791666666666701" bottom="0.74791666666666701" header="0.511811023622047" footer="0.511811023622047"/>
  <pageSetup paperSize="5" scale="8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D14"/>
  <sheetViews>
    <sheetView topLeftCell="H3" zoomScaleNormal="100" workbookViewId="0">
      <selection activeCell="K16" activeCellId="1" sqref="A166:A259 K16"/>
    </sheetView>
  </sheetViews>
  <sheetFormatPr baseColWidth="10" defaultColWidth="10.54296875" defaultRowHeight="14.5"/>
  <cols>
    <col min="1" max="2" width="22.81640625" style="162" customWidth="1"/>
    <col min="3" max="3" width="29.1796875" style="162" customWidth="1"/>
    <col min="4" max="4" width="25.81640625" style="162" customWidth="1"/>
    <col min="5" max="5" width="26.1796875" style="162" customWidth="1"/>
    <col min="6" max="6" width="3.453125" style="162" customWidth="1"/>
    <col min="7" max="7" width="29.1796875" style="162" customWidth="1"/>
    <col min="8" max="9" width="33" style="162" customWidth="1"/>
    <col min="10" max="10" width="39.1796875" style="162" customWidth="1"/>
    <col min="11" max="11" width="37.453125" style="162" customWidth="1"/>
    <col min="12" max="12" width="35.81640625" style="162" customWidth="1"/>
    <col min="13" max="30" width="11.453125" style="162" customWidth="1"/>
  </cols>
  <sheetData>
    <row r="1" spans="1:12" ht="25">
      <c r="A1" s="297" t="str">
        <f>Indice!C1</f>
        <v>KUROSU &amp; CIA. S.A.</v>
      </c>
      <c r="B1" s="298"/>
      <c r="D1" s="298" t="s">
        <v>23</v>
      </c>
    </row>
    <row r="4" spans="1:12">
      <c r="A4" s="769" t="s">
        <v>446</v>
      </c>
      <c r="B4" s="769"/>
      <c r="C4" s="769"/>
      <c r="D4" s="769"/>
      <c r="E4" s="769"/>
      <c r="F4" s="769"/>
    </row>
    <row r="5" spans="1:12" s="162" customFormat="1">
      <c r="A5" s="287" t="s">
        <v>378</v>
      </c>
      <c r="B5" s="287"/>
      <c r="C5" s="363"/>
      <c r="D5" s="363"/>
      <c r="E5" s="363"/>
      <c r="F5" s="363"/>
    </row>
    <row r="6" spans="1:12" ht="30" customHeight="1">
      <c r="A6" s="364" t="s">
        <v>447</v>
      </c>
      <c r="B6" s="365"/>
      <c r="C6" s="258"/>
      <c r="D6" s="258"/>
      <c r="E6" s="258"/>
      <c r="F6" s="258"/>
      <c r="G6" s="258"/>
      <c r="H6" s="258"/>
      <c r="I6" s="258"/>
      <c r="J6" s="258"/>
    </row>
    <row r="7" spans="1:12">
      <c r="A7" s="162" t="s">
        <v>448</v>
      </c>
      <c r="B7" s="366">
        <f>IFERROR(IF(Indice!B8="","2XX2",YEAR(Indice!B8)),"2XX2")</f>
        <v>2025</v>
      </c>
      <c r="C7" s="367">
        <f>IFERROR(YEAR(Indice!B8-365),"2XX1")</f>
        <v>2024</v>
      </c>
    </row>
    <row r="8" spans="1:12">
      <c r="A8" s="162" t="s">
        <v>449</v>
      </c>
      <c r="B8" s="368">
        <f>SUM($I$13:I14)</f>
        <v>250000000</v>
      </c>
      <c r="C8" s="368">
        <v>250000000</v>
      </c>
      <c r="D8" s="369" t="s">
        <v>450</v>
      </c>
    </row>
    <row r="10" spans="1:12">
      <c r="A10" s="162" t="s">
        <v>451</v>
      </c>
      <c r="G10" s="162" t="s">
        <v>452</v>
      </c>
    </row>
    <row r="11" spans="1:12">
      <c r="D11" s="370">
        <f>IFERROR(IF(Indice!B8="","2XX2",YEAR(Indice!B8)),"2XX2")</f>
        <v>2025</v>
      </c>
      <c r="E11" s="371"/>
    </row>
    <row r="12" spans="1:12" ht="15" customHeight="1">
      <c r="A12" s="372" t="s">
        <v>453</v>
      </c>
      <c r="B12" s="373" t="s">
        <v>454</v>
      </c>
      <c r="C12" s="374" t="s">
        <v>188</v>
      </c>
      <c r="D12" s="375" t="s">
        <v>455</v>
      </c>
      <c r="E12" s="375" t="s">
        <v>456</v>
      </c>
      <c r="G12" s="374" t="s">
        <v>188</v>
      </c>
      <c r="H12" s="372" t="s">
        <v>457</v>
      </c>
      <c r="I12" s="372" t="s">
        <v>458</v>
      </c>
      <c r="J12" s="372" t="s">
        <v>459</v>
      </c>
      <c r="K12" s="372" t="s">
        <v>460</v>
      </c>
      <c r="L12" s="372" t="s">
        <v>461</v>
      </c>
    </row>
    <row r="13" spans="1:12" ht="26.5">
      <c r="A13" s="376" t="s">
        <v>462</v>
      </c>
      <c r="B13" s="377" t="s">
        <v>463</v>
      </c>
      <c r="C13" s="378">
        <v>50</v>
      </c>
      <c r="D13" s="379">
        <v>93826675799</v>
      </c>
      <c r="E13" s="380">
        <v>-1775066997</v>
      </c>
      <c r="G13" s="377">
        <v>50</v>
      </c>
      <c r="H13" s="381">
        <v>1.2699999999999999E-2</v>
      </c>
      <c r="I13" s="382">
        <v>250000000</v>
      </c>
      <c r="J13" s="383">
        <v>1.2699999999999999E-2</v>
      </c>
      <c r="K13" s="384">
        <f>J13*D13</f>
        <v>1191598782.6473</v>
      </c>
      <c r="L13" s="385">
        <f>J13*E13</f>
        <v>-22543350.861899998</v>
      </c>
    </row>
    <row r="14" spans="1:12">
      <c r="A14" s="386"/>
      <c r="B14" s="387"/>
      <c r="C14" s="387"/>
      <c r="D14" s="386"/>
      <c r="E14" s="386"/>
      <c r="G14" s="386"/>
      <c r="H14" s="386"/>
      <c r="I14" s="386"/>
      <c r="J14" s="388"/>
      <c r="K14" s="389">
        <f>J14*D14</f>
        <v>0</v>
      </c>
      <c r="L14" s="389">
        <f>J14*E14</f>
        <v>0</v>
      </c>
    </row>
  </sheetData>
  <mergeCells count="1">
    <mergeCell ref="A4:F4"/>
  </mergeCells>
  <hyperlinks>
    <hyperlink ref="D1" location="BG!A1" display="BG" xr:uid="{00000000-0004-0000-0D00-000000000000}"/>
  </hyperlinks>
  <pageMargins left="0.7" right="0.7" top="0.75" bottom="0.75" header="0.511811023622047" footer="0.511811023622047"/>
  <pageSetup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J27"/>
  <sheetViews>
    <sheetView showGridLines="0" topLeftCell="B1" zoomScaleNormal="100" workbookViewId="0">
      <selection activeCell="L1" activeCellId="1" sqref="A166:A259 L1"/>
    </sheetView>
  </sheetViews>
  <sheetFormatPr baseColWidth="10" defaultColWidth="10.54296875" defaultRowHeight="14.5"/>
  <cols>
    <col min="1" max="1" width="27" style="162" customWidth="1"/>
    <col min="2" max="2" width="16.453125" style="162" customWidth="1"/>
    <col min="3" max="3" width="13.54296875" style="162" customWidth="1"/>
    <col min="4" max="4" width="13.1796875" style="162" customWidth="1"/>
    <col min="5" max="5" width="11.453125" style="162" customWidth="1"/>
    <col min="6" max="6" width="13.81640625" style="162" customWidth="1"/>
    <col min="7" max="7" width="15.81640625" style="162" customWidth="1"/>
    <col min="8" max="8" width="16" style="162" customWidth="1"/>
    <col min="9" max="9" width="17" style="162" customWidth="1"/>
    <col min="10" max="10" width="14.1796875" style="162" customWidth="1"/>
    <col min="11" max="11" width="16.81640625" style="162" customWidth="1"/>
    <col min="12" max="12" width="15.1796875" style="162" customWidth="1"/>
    <col min="13" max="13" width="14.81640625" style="162" customWidth="1"/>
    <col min="14" max="30" width="11.453125" style="162" customWidth="1"/>
    <col min="31" max="1024" width="10.54296875" style="162"/>
  </cols>
  <sheetData>
    <row r="1" spans="1:13" ht="25">
      <c r="A1" s="390" t="str">
        <f>Indice!C1</f>
        <v>KUROSU &amp; CIA. S.A.</v>
      </c>
      <c r="L1" s="298" t="s">
        <v>23</v>
      </c>
    </row>
    <row r="3" spans="1:13">
      <c r="A3" s="391" t="s">
        <v>464</v>
      </c>
    </row>
    <row r="4" spans="1:13">
      <c r="A4" s="162" t="s">
        <v>465</v>
      </c>
    </row>
    <row r="5" spans="1:13">
      <c r="A5" s="162" t="s">
        <v>466</v>
      </c>
    </row>
    <row r="6" spans="1:13">
      <c r="A6" s="162" t="s">
        <v>467</v>
      </c>
    </row>
    <row r="7" spans="1:13">
      <c r="A7" s="162" t="s">
        <v>468</v>
      </c>
    </row>
    <row r="8" spans="1:13">
      <c r="A8" s="162" t="s">
        <v>469</v>
      </c>
    </row>
    <row r="10" spans="1:13" ht="24.75" customHeight="1">
      <c r="A10" s="772" t="s">
        <v>470</v>
      </c>
      <c r="B10" s="772"/>
      <c r="C10" s="772"/>
      <c r="D10" s="772"/>
      <c r="E10" s="772"/>
      <c r="F10" s="772"/>
      <c r="G10" s="772"/>
      <c r="H10" s="772"/>
      <c r="I10" s="772"/>
      <c r="J10" s="772"/>
      <c r="K10" s="772"/>
      <c r="L10" s="772"/>
      <c r="M10" s="772"/>
    </row>
    <row r="11" spans="1:13">
      <c r="A11" s="287" t="s">
        <v>471</v>
      </c>
      <c r="B11" s="392"/>
      <c r="C11" s="392"/>
      <c r="D11" s="393"/>
      <c r="E11" s="393"/>
      <c r="F11" s="392"/>
      <c r="G11" s="392"/>
      <c r="H11" s="393"/>
      <c r="I11" s="393"/>
      <c r="J11" s="394">
        <v>-1</v>
      </c>
      <c r="K11" s="393"/>
      <c r="L11" s="393"/>
      <c r="M11" s="393"/>
    </row>
    <row r="12" spans="1:13">
      <c r="B12" s="395"/>
      <c r="C12" s="395"/>
      <c r="D12" s="396"/>
      <c r="E12" s="396"/>
      <c r="F12" s="395"/>
      <c r="G12" s="395"/>
      <c r="H12" s="396"/>
      <c r="I12" s="396"/>
      <c r="J12" s="396"/>
      <c r="K12" s="396"/>
      <c r="L12" s="396"/>
      <c r="M12" s="396"/>
    </row>
    <row r="13" spans="1:13" ht="55.5" customHeight="1">
      <c r="A13" s="397" t="s">
        <v>472</v>
      </c>
      <c r="B13" s="397" t="s">
        <v>473</v>
      </c>
      <c r="C13" s="397" t="s">
        <v>474</v>
      </c>
      <c r="D13" s="397" t="s">
        <v>475</v>
      </c>
      <c r="E13" s="397" t="s">
        <v>476</v>
      </c>
      <c r="F13" s="397" t="s">
        <v>477</v>
      </c>
      <c r="G13" s="397" t="s">
        <v>478</v>
      </c>
      <c r="H13" s="397" t="s">
        <v>479</v>
      </c>
      <c r="I13" s="397" t="s">
        <v>480</v>
      </c>
      <c r="J13" s="397" t="s">
        <v>481</v>
      </c>
      <c r="K13" s="397" t="s">
        <v>482</v>
      </c>
      <c r="L13" s="773" t="s">
        <v>483</v>
      </c>
      <c r="M13" s="773"/>
    </row>
    <row r="14" spans="1:13">
      <c r="A14" s="398"/>
      <c r="B14" s="398"/>
      <c r="C14" s="398"/>
      <c r="D14" s="398"/>
      <c r="E14" s="398"/>
      <c r="F14" s="398"/>
      <c r="G14" s="398"/>
      <c r="H14" s="398"/>
      <c r="I14" s="398"/>
      <c r="J14" s="398"/>
      <c r="K14" s="398"/>
      <c r="L14" s="399">
        <f>IFERROR(IF(Indice!B8="","2XX2",YEAR(Indice!B8)),"2XX2")</f>
        <v>2025</v>
      </c>
      <c r="M14" s="400">
        <f>IFERROR(YEAR(Indice!B8-365),"2XX1")</f>
        <v>2024</v>
      </c>
    </row>
    <row r="15" spans="1:13">
      <c r="A15" s="401" t="s">
        <v>484</v>
      </c>
      <c r="B15" s="402">
        <v>35421127049</v>
      </c>
      <c r="C15" s="402">
        <v>0</v>
      </c>
      <c r="D15" s="402">
        <v>0</v>
      </c>
      <c r="E15" s="403">
        <v>0</v>
      </c>
      <c r="F15" s="402">
        <v>0</v>
      </c>
      <c r="G15" s="402">
        <v>0</v>
      </c>
      <c r="H15" s="402">
        <v>0</v>
      </c>
      <c r="I15" s="403">
        <v>0</v>
      </c>
      <c r="J15" s="403">
        <v>0</v>
      </c>
      <c r="K15" s="402">
        <v>0</v>
      </c>
      <c r="L15" s="404">
        <f>+B15+C15+D15+E15+G15+H15</f>
        <v>35421127049</v>
      </c>
      <c r="M15" s="402">
        <v>35421127049</v>
      </c>
    </row>
    <row r="16" spans="1:13">
      <c r="A16" s="401" t="s">
        <v>485</v>
      </c>
      <c r="B16" s="402">
        <v>68936283551</v>
      </c>
      <c r="C16" s="402">
        <v>0</v>
      </c>
      <c r="D16" s="402">
        <v>0</v>
      </c>
      <c r="E16" s="403">
        <v>0</v>
      </c>
      <c r="F16" s="402">
        <v>0</v>
      </c>
      <c r="G16" s="402">
        <v>-13617748996</v>
      </c>
      <c r="H16" s="402">
        <v>-440210515</v>
      </c>
      <c r="I16" s="403">
        <v>0</v>
      </c>
      <c r="J16" s="403">
        <v>0</v>
      </c>
      <c r="K16" s="402">
        <f t="shared" ref="K16:K26" si="0">G16+H16+I16</f>
        <v>-14057959511</v>
      </c>
      <c r="L16" s="404">
        <f t="shared" ref="L16:L26" si="1">+B16+C16+D16+E16+G16+H16+I16</f>
        <v>54878324040</v>
      </c>
      <c r="M16" s="402">
        <v>55318534554.822403</v>
      </c>
    </row>
    <row r="17" spans="1:13">
      <c r="A17" s="401" t="s">
        <v>486</v>
      </c>
      <c r="B17" s="402">
        <v>3334917757</v>
      </c>
      <c r="C17" s="402">
        <v>85909084</v>
      </c>
      <c r="D17" s="402">
        <v>-434299106</v>
      </c>
      <c r="E17" s="403">
        <v>0</v>
      </c>
      <c r="F17" s="402">
        <v>0</v>
      </c>
      <c r="G17" s="402">
        <v>-1720099425</v>
      </c>
      <c r="H17" s="402">
        <v>-69325111</v>
      </c>
      <c r="I17" s="403">
        <v>364702113</v>
      </c>
      <c r="J17" s="403"/>
      <c r="K17" s="402">
        <f t="shared" si="0"/>
        <v>-1424722423</v>
      </c>
      <c r="L17" s="404">
        <f t="shared" si="1"/>
        <v>1561805312</v>
      </c>
      <c r="M17" s="402">
        <v>1614818332</v>
      </c>
    </row>
    <row r="18" spans="1:13">
      <c r="A18" s="401" t="s">
        <v>487</v>
      </c>
      <c r="B18" s="402">
        <v>6118135339</v>
      </c>
      <c r="C18" s="402">
        <v>478505469</v>
      </c>
      <c r="D18" s="402">
        <v>-23315353</v>
      </c>
      <c r="E18" s="403">
        <v>0</v>
      </c>
      <c r="F18" s="402">
        <v>0</v>
      </c>
      <c r="G18" s="402">
        <v>-4031614966</v>
      </c>
      <c r="H18" s="402">
        <v>-125399403</v>
      </c>
      <c r="I18" s="403">
        <v>22232291</v>
      </c>
      <c r="J18" s="403">
        <v>0</v>
      </c>
      <c r="K18" s="402">
        <f t="shared" si="0"/>
        <v>-4134782078</v>
      </c>
      <c r="L18" s="404">
        <f t="shared" si="1"/>
        <v>2438543377</v>
      </c>
      <c r="M18" s="402">
        <v>2086520373</v>
      </c>
    </row>
    <row r="19" spans="1:13">
      <c r="A19" s="401" t="s">
        <v>488</v>
      </c>
      <c r="B19" s="402">
        <v>4949776834</v>
      </c>
      <c r="C19" s="402">
        <v>76633245</v>
      </c>
      <c r="D19" s="402">
        <v>-206093659</v>
      </c>
      <c r="E19" s="403">
        <v>0</v>
      </c>
      <c r="F19" s="402">
        <v>0</v>
      </c>
      <c r="G19" s="402">
        <v>-3749316189</v>
      </c>
      <c r="H19" s="402">
        <v>-71141196</v>
      </c>
      <c r="I19" s="403">
        <v>205986594</v>
      </c>
      <c r="J19" s="403">
        <v>0</v>
      </c>
      <c r="K19" s="402">
        <f t="shared" si="0"/>
        <v>-3614470791</v>
      </c>
      <c r="L19" s="404">
        <f t="shared" si="1"/>
        <v>1205845629</v>
      </c>
      <c r="M19" s="402">
        <v>1200460645</v>
      </c>
    </row>
    <row r="20" spans="1:13">
      <c r="A20" s="401" t="s">
        <v>489</v>
      </c>
      <c r="B20" s="402">
        <v>6033046330</v>
      </c>
      <c r="C20" s="402">
        <v>27783182</v>
      </c>
      <c r="D20" s="402">
        <v>0</v>
      </c>
      <c r="E20" s="403">
        <v>0</v>
      </c>
      <c r="F20" s="402">
        <v>0</v>
      </c>
      <c r="G20" s="402">
        <v>-4185207457</v>
      </c>
      <c r="H20" s="402">
        <v>-100820020</v>
      </c>
      <c r="I20" s="403">
        <v>0</v>
      </c>
      <c r="J20" s="403">
        <v>0</v>
      </c>
      <c r="K20" s="402">
        <f t="shared" si="0"/>
        <v>-4286027477</v>
      </c>
      <c r="L20" s="404">
        <f t="shared" si="1"/>
        <v>1774802035</v>
      </c>
      <c r="M20" s="402">
        <v>1847838873</v>
      </c>
    </row>
    <row r="21" spans="1:13">
      <c r="A21" s="401" t="s">
        <v>490</v>
      </c>
      <c r="B21" s="402">
        <v>50100747</v>
      </c>
      <c r="C21" s="402">
        <v>0</v>
      </c>
      <c r="D21" s="402">
        <v>0</v>
      </c>
      <c r="E21" s="403">
        <v>0</v>
      </c>
      <c r="F21" s="402">
        <v>0</v>
      </c>
      <c r="G21" s="402">
        <v>-33670689</v>
      </c>
      <c r="H21" s="402">
        <v>-806954</v>
      </c>
      <c r="I21" s="403">
        <v>0</v>
      </c>
      <c r="J21" s="403">
        <v>0</v>
      </c>
      <c r="K21" s="402">
        <f t="shared" si="0"/>
        <v>-34477643</v>
      </c>
      <c r="L21" s="404">
        <f t="shared" si="1"/>
        <v>15623104</v>
      </c>
      <c r="M21" s="402">
        <v>16430058</v>
      </c>
    </row>
    <row r="22" spans="1:13">
      <c r="A22" s="401" t="s">
        <v>491</v>
      </c>
      <c r="B22" s="402">
        <v>1828030625</v>
      </c>
      <c r="C22" s="402">
        <v>4619060</v>
      </c>
      <c r="D22" s="402">
        <v>0</v>
      </c>
      <c r="E22" s="403">
        <v>0</v>
      </c>
      <c r="F22" s="402">
        <v>0</v>
      </c>
      <c r="G22" s="402">
        <v>-927176526</v>
      </c>
      <c r="H22" s="402">
        <v>-109535656</v>
      </c>
      <c r="I22" s="403">
        <v>0</v>
      </c>
      <c r="J22" s="403"/>
      <c r="K22" s="402">
        <f t="shared" si="0"/>
        <v>-1036712182</v>
      </c>
      <c r="L22" s="404">
        <f t="shared" si="1"/>
        <v>795937503</v>
      </c>
      <c r="M22" s="402">
        <v>900854099</v>
      </c>
    </row>
    <row r="23" spans="1:13">
      <c r="A23" s="401" t="s">
        <v>492</v>
      </c>
      <c r="B23" s="402">
        <v>41031269</v>
      </c>
      <c r="C23" s="402">
        <v>7443041</v>
      </c>
      <c r="D23" s="402">
        <v>0</v>
      </c>
      <c r="E23" s="403">
        <v>0</v>
      </c>
      <c r="F23" s="402">
        <v>0</v>
      </c>
      <c r="G23" s="402">
        <v>-39955825</v>
      </c>
      <c r="H23" s="402">
        <v>-408860</v>
      </c>
      <c r="I23" s="403"/>
      <c r="J23" s="403">
        <v>0</v>
      </c>
      <c r="K23" s="402">
        <f t="shared" si="0"/>
        <v>-40364685</v>
      </c>
      <c r="L23" s="404">
        <f t="shared" si="1"/>
        <v>8109625</v>
      </c>
      <c r="M23" s="402">
        <v>1075444</v>
      </c>
    </row>
    <row r="24" spans="1:13">
      <c r="A24" s="401" t="s">
        <v>493</v>
      </c>
      <c r="B24" s="402">
        <v>6207271679</v>
      </c>
      <c r="C24" s="402">
        <v>101891767</v>
      </c>
      <c r="D24" s="402">
        <v>0</v>
      </c>
      <c r="E24" s="403">
        <v>0</v>
      </c>
      <c r="F24" s="402">
        <v>0</v>
      </c>
      <c r="G24" s="402">
        <v>0</v>
      </c>
      <c r="H24" s="402">
        <v>0</v>
      </c>
      <c r="I24" s="403">
        <v>0</v>
      </c>
      <c r="J24" s="403">
        <v>0</v>
      </c>
      <c r="K24" s="402">
        <f t="shared" si="0"/>
        <v>0</v>
      </c>
      <c r="L24" s="404">
        <f t="shared" si="1"/>
        <v>6309163446</v>
      </c>
      <c r="M24" s="402">
        <v>6207271679</v>
      </c>
    </row>
    <row r="25" spans="1:13">
      <c r="A25" s="401" t="s">
        <v>494</v>
      </c>
      <c r="B25" s="402">
        <v>1497015342</v>
      </c>
      <c r="C25" s="402">
        <v>0</v>
      </c>
      <c r="D25" s="402">
        <v>0</v>
      </c>
      <c r="E25" s="403">
        <v>0</v>
      </c>
      <c r="F25" s="402">
        <v>0</v>
      </c>
      <c r="G25" s="402">
        <v>0</v>
      </c>
      <c r="H25" s="402">
        <v>0</v>
      </c>
      <c r="I25" s="403">
        <v>0</v>
      </c>
      <c r="J25" s="403">
        <v>0</v>
      </c>
      <c r="K25" s="402">
        <f t="shared" si="0"/>
        <v>0</v>
      </c>
      <c r="L25" s="404">
        <f t="shared" si="1"/>
        <v>1497015342</v>
      </c>
      <c r="M25" s="402">
        <v>1497015342</v>
      </c>
    </row>
    <row r="26" spans="1:13">
      <c r="A26" s="401" t="s">
        <v>495</v>
      </c>
      <c r="B26" s="402">
        <v>0</v>
      </c>
      <c r="C26" s="402">
        <v>0</v>
      </c>
      <c r="D26" s="402">
        <v>0</v>
      </c>
      <c r="E26" s="403">
        <v>0</v>
      </c>
      <c r="F26" s="402">
        <v>0</v>
      </c>
      <c r="G26" s="402">
        <v>0</v>
      </c>
      <c r="H26" s="402">
        <v>0</v>
      </c>
      <c r="I26" s="403">
        <v>0</v>
      </c>
      <c r="J26" s="403">
        <v>0</v>
      </c>
      <c r="K26" s="402">
        <f t="shared" si="0"/>
        <v>0</v>
      </c>
      <c r="L26" s="404">
        <f t="shared" si="1"/>
        <v>0</v>
      </c>
      <c r="M26" s="402">
        <v>0</v>
      </c>
    </row>
    <row r="27" spans="1:13">
      <c r="A27" s="405" t="s">
        <v>496</v>
      </c>
      <c r="B27" s="406">
        <f t="shared" ref="B27:M27" si="2">SUM(B15:B26)</f>
        <v>134416736522</v>
      </c>
      <c r="C27" s="406">
        <f t="shared" si="2"/>
        <v>782784848</v>
      </c>
      <c r="D27" s="406">
        <f t="shared" si="2"/>
        <v>-663708118</v>
      </c>
      <c r="E27" s="406">
        <f t="shared" si="2"/>
        <v>0</v>
      </c>
      <c r="F27" s="406">
        <f t="shared" si="2"/>
        <v>0</v>
      </c>
      <c r="G27" s="406">
        <f t="shared" si="2"/>
        <v>-28304790073</v>
      </c>
      <c r="H27" s="406">
        <f t="shared" si="2"/>
        <v>-917647715</v>
      </c>
      <c r="I27" s="406">
        <f t="shared" si="2"/>
        <v>592920998</v>
      </c>
      <c r="J27" s="406">
        <f t="shared" si="2"/>
        <v>0</v>
      </c>
      <c r="K27" s="406">
        <f t="shared" si="2"/>
        <v>-28629516790</v>
      </c>
      <c r="L27" s="406">
        <f t="shared" si="2"/>
        <v>105906296462</v>
      </c>
      <c r="M27" s="406">
        <f t="shared" si="2"/>
        <v>106111946448.8224</v>
      </c>
    </row>
  </sheetData>
  <mergeCells count="2">
    <mergeCell ref="A10:M10"/>
    <mergeCell ref="L13:M13"/>
  </mergeCells>
  <hyperlinks>
    <hyperlink ref="L1" location="BG!A1" display="BG" xr:uid="{00000000-0004-0000-0E00-000000000000}"/>
  </hyperlinks>
  <pageMargins left="0.7" right="0.7" top="0.75" bottom="0.75" header="0.511811023622047" footer="0.511811023622047"/>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J16"/>
  <sheetViews>
    <sheetView showGridLines="0" zoomScaleNormal="100" workbookViewId="0">
      <selection activeCell="C7" activeCellId="1" sqref="A166:A259 C7"/>
    </sheetView>
  </sheetViews>
  <sheetFormatPr baseColWidth="10" defaultColWidth="10.54296875" defaultRowHeight="14.5"/>
  <cols>
    <col min="1" max="1" width="34.1796875" customWidth="1"/>
    <col min="2" max="3" width="22.81640625" customWidth="1"/>
  </cols>
  <sheetData>
    <row r="1" spans="1:1024" ht="25">
      <c r="A1" s="144" t="str">
        <f>Indice!C1</f>
        <v>KUROSU &amp; CIA. S.A.</v>
      </c>
      <c r="C1" s="211" t="s">
        <v>23</v>
      </c>
    </row>
    <row r="4" spans="1:1024" s="407" customFormat="1" ht="13">
      <c r="A4" s="212" t="s">
        <v>497</v>
      </c>
      <c r="B4" s="212"/>
      <c r="C4" s="212"/>
      <c r="D4" s="212"/>
      <c r="E4" s="774"/>
      <c r="F4" s="774"/>
      <c r="G4" s="774"/>
      <c r="H4" s="774"/>
      <c r="I4" s="774"/>
      <c r="J4" s="774"/>
      <c r="K4" s="774"/>
      <c r="L4" s="774"/>
      <c r="M4" s="774"/>
      <c r="N4" s="774"/>
      <c r="O4" s="774"/>
      <c r="P4" s="774"/>
      <c r="Q4" s="774"/>
      <c r="R4" s="774"/>
      <c r="S4" s="774"/>
      <c r="T4" s="774"/>
      <c r="U4" s="774"/>
      <c r="V4" s="774"/>
      <c r="W4" s="774"/>
      <c r="X4" s="774"/>
      <c r="Y4" s="774"/>
      <c r="Z4" s="774"/>
      <c r="AA4" s="774"/>
      <c r="AB4" s="774"/>
      <c r="AC4" s="774"/>
      <c r="AD4" s="774"/>
      <c r="AE4" s="774"/>
      <c r="AF4" s="774"/>
      <c r="AG4" s="774"/>
      <c r="AH4" s="774"/>
      <c r="AI4" s="774"/>
      <c r="AJ4" s="774"/>
      <c r="AK4" s="774"/>
      <c r="AL4" s="774"/>
      <c r="AM4" s="774"/>
      <c r="AN4" s="774"/>
      <c r="AO4" s="774"/>
      <c r="AP4" s="774"/>
      <c r="AQ4" s="774"/>
      <c r="AR4" s="774"/>
      <c r="AS4" s="774"/>
      <c r="AT4" s="774"/>
      <c r="AU4" s="774"/>
      <c r="AV4" s="774"/>
      <c r="AW4" s="774"/>
      <c r="AX4" s="774"/>
      <c r="AY4" s="774"/>
      <c r="AZ4" s="774"/>
      <c r="BA4" s="774"/>
      <c r="BB4" s="774"/>
      <c r="BC4" s="774"/>
      <c r="BD4" s="774"/>
      <c r="BE4" s="774"/>
      <c r="BF4" s="774"/>
      <c r="BG4" s="774"/>
      <c r="BH4" s="774"/>
      <c r="BI4" s="774"/>
      <c r="BJ4" s="774"/>
      <c r="BK4" s="774"/>
      <c r="BL4" s="774"/>
      <c r="BM4" s="774"/>
      <c r="BN4" s="774"/>
      <c r="BO4" s="774"/>
      <c r="BP4" s="774"/>
      <c r="BQ4" s="774"/>
      <c r="BR4" s="774"/>
      <c r="BS4" s="774"/>
      <c r="BT4" s="774"/>
      <c r="BU4" s="774"/>
      <c r="BV4" s="774"/>
      <c r="BW4" s="774"/>
      <c r="BX4" s="774"/>
      <c r="BY4" s="774"/>
      <c r="BZ4" s="774"/>
      <c r="CA4" s="774"/>
      <c r="CB4" s="774"/>
      <c r="CC4" s="774"/>
      <c r="CD4" s="774"/>
      <c r="CE4" s="774"/>
      <c r="CF4" s="774"/>
      <c r="CG4" s="774"/>
      <c r="CH4" s="774"/>
      <c r="CI4" s="774"/>
      <c r="CJ4" s="774"/>
      <c r="CK4" s="774"/>
      <c r="CL4" s="774"/>
      <c r="CM4" s="774"/>
      <c r="CN4" s="774"/>
      <c r="CO4" s="774"/>
      <c r="CP4" s="774"/>
      <c r="CQ4" s="774"/>
      <c r="CR4" s="774"/>
      <c r="CS4" s="774"/>
      <c r="CT4" s="774"/>
      <c r="CU4" s="774"/>
      <c r="CV4" s="774"/>
      <c r="CW4" s="774"/>
      <c r="CX4" s="774"/>
      <c r="CY4" s="774"/>
      <c r="CZ4" s="774"/>
      <c r="DA4" s="774"/>
      <c r="DB4" s="774"/>
      <c r="DC4" s="774"/>
      <c r="DD4" s="774"/>
      <c r="DE4" s="774"/>
      <c r="DF4" s="774"/>
      <c r="DG4" s="774"/>
      <c r="DH4" s="774"/>
      <c r="DI4" s="774"/>
      <c r="DJ4" s="774"/>
      <c r="DK4" s="774"/>
      <c r="DL4" s="774"/>
      <c r="DM4" s="774"/>
      <c r="DN4" s="774"/>
      <c r="DO4" s="774"/>
      <c r="DP4" s="774"/>
      <c r="DQ4" s="774"/>
      <c r="DR4" s="774"/>
      <c r="DS4" s="774"/>
      <c r="DT4" s="774"/>
      <c r="DU4" s="774"/>
      <c r="DV4" s="774"/>
      <c r="DW4" s="774"/>
      <c r="DX4" s="774"/>
      <c r="DY4" s="774"/>
      <c r="DZ4" s="774"/>
      <c r="EA4" s="774"/>
      <c r="EB4" s="774"/>
      <c r="EC4" s="774"/>
      <c r="ED4" s="774"/>
      <c r="EE4" s="774"/>
      <c r="EF4" s="774"/>
      <c r="EG4" s="774"/>
      <c r="EH4" s="774"/>
      <c r="EI4" s="774"/>
      <c r="EJ4" s="774"/>
      <c r="EK4" s="774"/>
      <c r="EL4" s="774"/>
      <c r="EM4" s="774"/>
      <c r="EN4" s="774"/>
      <c r="EO4" s="774"/>
      <c r="EP4" s="774"/>
      <c r="EQ4" s="774"/>
      <c r="ER4" s="774"/>
      <c r="ES4" s="774"/>
      <c r="ET4" s="774"/>
      <c r="EU4" s="774"/>
      <c r="EV4" s="774"/>
      <c r="EW4" s="774"/>
      <c r="EX4" s="774"/>
      <c r="EY4" s="774"/>
      <c r="EZ4" s="774"/>
      <c r="FA4" s="774"/>
      <c r="FB4" s="774"/>
      <c r="FC4" s="774"/>
      <c r="FD4" s="774"/>
      <c r="FE4" s="774"/>
      <c r="FF4" s="774"/>
      <c r="FG4" s="774"/>
      <c r="FH4" s="774"/>
      <c r="FI4" s="774"/>
      <c r="FJ4" s="774"/>
      <c r="FK4" s="774"/>
      <c r="FL4" s="774"/>
      <c r="FM4" s="774"/>
      <c r="FN4" s="774"/>
      <c r="FO4" s="774"/>
      <c r="FP4" s="774"/>
      <c r="FQ4" s="774"/>
      <c r="FR4" s="774"/>
      <c r="FS4" s="774"/>
      <c r="FT4" s="774"/>
      <c r="FU4" s="774"/>
      <c r="FV4" s="774"/>
      <c r="FW4" s="774"/>
      <c r="FX4" s="774"/>
      <c r="FY4" s="774"/>
      <c r="FZ4" s="774"/>
      <c r="GA4" s="774"/>
      <c r="GB4" s="774"/>
      <c r="GC4" s="774"/>
      <c r="GD4" s="774"/>
      <c r="GE4" s="774"/>
      <c r="GF4" s="774"/>
      <c r="GG4" s="774"/>
      <c r="GH4" s="774"/>
      <c r="GI4" s="774"/>
      <c r="GJ4" s="774"/>
      <c r="GK4" s="774"/>
      <c r="GL4" s="774"/>
      <c r="GM4" s="774"/>
      <c r="GN4" s="774"/>
      <c r="GO4" s="774"/>
      <c r="GP4" s="774"/>
      <c r="GQ4" s="774"/>
      <c r="GR4" s="774"/>
      <c r="GS4" s="774"/>
      <c r="GT4" s="774"/>
      <c r="GU4" s="774"/>
      <c r="GV4" s="774"/>
      <c r="GW4" s="774"/>
      <c r="GX4" s="774"/>
      <c r="GY4" s="774"/>
      <c r="GZ4" s="774"/>
      <c r="HA4" s="774"/>
      <c r="HB4" s="774"/>
      <c r="HC4" s="774"/>
      <c r="HD4" s="774"/>
      <c r="HE4" s="774"/>
      <c r="HF4" s="774"/>
      <c r="HG4" s="774"/>
      <c r="HH4" s="774"/>
      <c r="HI4" s="774"/>
      <c r="HJ4" s="774"/>
      <c r="HK4" s="774"/>
      <c r="HL4" s="774"/>
      <c r="HM4" s="774"/>
      <c r="HN4" s="774"/>
      <c r="HO4" s="774"/>
      <c r="HP4" s="774"/>
      <c r="HQ4" s="774"/>
      <c r="HR4" s="774"/>
      <c r="HS4" s="774"/>
      <c r="HT4" s="774"/>
      <c r="HU4" s="774"/>
      <c r="HV4" s="774"/>
      <c r="HW4" s="774"/>
      <c r="HX4" s="774"/>
      <c r="HY4" s="774"/>
      <c r="HZ4" s="774"/>
      <c r="IA4" s="774"/>
      <c r="IB4" s="774"/>
      <c r="IC4" s="774"/>
      <c r="ID4" s="774"/>
      <c r="IE4" s="774"/>
      <c r="IF4" s="774"/>
      <c r="IG4" s="774"/>
      <c r="IH4" s="774"/>
      <c r="II4" s="774"/>
      <c r="IJ4" s="774"/>
      <c r="IK4" s="774"/>
      <c r="IL4" s="774"/>
      <c r="IM4" s="774"/>
      <c r="IN4" s="774"/>
      <c r="IO4" s="774"/>
      <c r="IP4" s="774"/>
      <c r="IQ4" s="774"/>
      <c r="IR4" s="774"/>
      <c r="IS4" s="774"/>
      <c r="IT4" s="774"/>
      <c r="IU4" s="774"/>
      <c r="IV4" s="774"/>
      <c r="IW4" s="774"/>
      <c r="IX4" s="774"/>
      <c r="IY4" s="774"/>
      <c r="IZ4" s="774"/>
      <c r="JA4" s="774"/>
      <c r="JB4" s="774"/>
      <c r="JC4" s="774"/>
      <c r="JD4" s="774"/>
      <c r="JE4" s="774"/>
      <c r="JF4" s="774"/>
      <c r="JG4" s="774"/>
      <c r="JH4" s="774"/>
      <c r="JI4" s="774"/>
      <c r="JJ4" s="774"/>
      <c r="JK4" s="774"/>
      <c r="JL4" s="774"/>
      <c r="JM4" s="774"/>
      <c r="JN4" s="774"/>
      <c r="JO4" s="774"/>
      <c r="JP4" s="774"/>
      <c r="JQ4" s="774"/>
      <c r="JR4" s="774"/>
      <c r="JS4" s="774"/>
      <c r="JT4" s="774"/>
      <c r="JU4" s="774"/>
      <c r="JV4" s="774"/>
      <c r="JW4" s="774"/>
      <c r="JX4" s="774"/>
      <c r="JY4" s="774"/>
      <c r="JZ4" s="774"/>
      <c r="KA4" s="774"/>
      <c r="KB4" s="774"/>
      <c r="KC4" s="774"/>
      <c r="KD4" s="774"/>
      <c r="KE4" s="774"/>
      <c r="KF4" s="774"/>
      <c r="KG4" s="774"/>
      <c r="KH4" s="774"/>
      <c r="KI4" s="774"/>
      <c r="KJ4" s="774"/>
      <c r="KK4" s="774"/>
      <c r="KL4" s="774"/>
      <c r="KM4" s="774"/>
      <c r="KN4" s="774"/>
      <c r="KO4" s="774"/>
      <c r="KP4" s="774"/>
      <c r="KQ4" s="774"/>
      <c r="KR4" s="774"/>
      <c r="KS4" s="774"/>
      <c r="KT4" s="774"/>
      <c r="KU4" s="774"/>
      <c r="KV4" s="774"/>
      <c r="KW4" s="774"/>
      <c r="KX4" s="774"/>
      <c r="KY4" s="774"/>
      <c r="KZ4" s="774"/>
      <c r="LA4" s="774"/>
      <c r="LB4" s="774"/>
      <c r="LC4" s="774"/>
      <c r="LD4" s="774"/>
      <c r="LE4" s="774"/>
      <c r="LF4" s="774"/>
      <c r="LG4" s="774"/>
      <c r="LH4" s="774"/>
      <c r="LI4" s="774"/>
      <c r="LJ4" s="774"/>
      <c r="LK4" s="774"/>
      <c r="LL4" s="774"/>
      <c r="LM4" s="774"/>
      <c r="LN4" s="774"/>
      <c r="LO4" s="774"/>
      <c r="LP4" s="774"/>
      <c r="LQ4" s="774"/>
      <c r="LR4" s="774"/>
      <c r="LS4" s="774"/>
      <c r="LT4" s="774"/>
      <c r="LU4" s="774"/>
      <c r="LV4" s="774"/>
      <c r="LW4" s="774"/>
      <c r="LX4" s="774"/>
      <c r="LY4" s="774"/>
      <c r="LZ4" s="774"/>
      <c r="MA4" s="774"/>
      <c r="MB4" s="774"/>
      <c r="MC4" s="774"/>
      <c r="MD4" s="774"/>
      <c r="ME4" s="774"/>
      <c r="MF4" s="774"/>
      <c r="MG4" s="774"/>
      <c r="MH4" s="774"/>
      <c r="MI4" s="774"/>
      <c r="MJ4" s="774"/>
      <c r="MK4" s="774"/>
      <c r="ML4" s="774"/>
      <c r="MM4" s="774"/>
      <c r="MN4" s="774"/>
      <c r="MO4" s="774"/>
      <c r="MP4" s="774"/>
      <c r="MQ4" s="774"/>
      <c r="MR4" s="774"/>
      <c r="MS4" s="774"/>
      <c r="MT4" s="774"/>
      <c r="MU4" s="774"/>
      <c r="MV4" s="774"/>
      <c r="MW4" s="774"/>
      <c r="MX4" s="774"/>
      <c r="MY4" s="774"/>
      <c r="MZ4" s="774"/>
      <c r="NA4" s="774"/>
      <c r="NB4" s="774"/>
      <c r="NC4" s="774"/>
      <c r="ND4" s="774"/>
      <c r="NE4" s="774"/>
      <c r="NF4" s="774"/>
      <c r="NG4" s="774"/>
      <c r="NH4" s="774"/>
      <c r="NI4" s="774"/>
      <c r="NJ4" s="774"/>
      <c r="NK4" s="774"/>
      <c r="NL4" s="774"/>
      <c r="NM4" s="774"/>
      <c r="NN4" s="774"/>
      <c r="NO4" s="774"/>
      <c r="NP4" s="774"/>
      <c r="NQ4" s="774"/>
      <c r="NR4" s="774"/>
      <c r="NS4" s="774"/>
      <c r="NT4" s="774"/>
      <c r="NU4" s="774"/>
      <c r="NV4" s="774"/>
      <c r="NW4" s="774"/>
      <c r="NX4" s="774"/>
      <c r="NY4" s="774"/>
      <c r="NZ4" s="774"/>
      <c r="OA4" s="774"/>
      <c r="OB4" s="774"/>
      <c r="OC4" s="774"/>
      <c r="OD4" s="774"/>
      <c r="OE4" s="774"/>
      <c r="OF4" s="774"/>
      <c r="OG4" s="774"/>
      <c r="OH4" s="774"/>
      <c r="OI4" s="774"/>
      <c r="OJ4" s="774"/>
      <c r="OK4" s="774"/>
      <c r="OL4" s="774"/>
      <c r="OM4" s="774"/>
      <c r="ON4" s="774"/>
      <c r="OO4" s="774"/>
      <c r="OP4" s="774"/>
      <c r="OQ4" s="774"/>
      <c r="OR4" s="774"/>
      <c r="OS4" s="774"/>
      <c r="OT4" s="774"/>
      <c r="OU4" s="774"/>
      <c r="OV4" s="774"/>
      <c r="OW4" s="774"/>
      <c r="OX4" s="774"/>
      <c r="OY4" s="774"/>
      <c r="OZ4" s="774"/>
      <c r="PA4" s="774"/>
      <c r="PB4" s="774"/>
      <c r="PC4" s="774"/>
      <c r="PD4" s="774"/>
      <c r="PE4" s="774"/>
      <c r="PF4" s="774"/>
      <c r="PG4" s="774"/>
      <c r="PH4" s="774"/>
      <c r="PI4" s="774"/>
      <c r="PJ4" s="774"/>
      <c r="PK4" s="774"/>
      <c r="PL4" s="774"/>
      <c r="PM4" s="774"/>
      <c r="PN4" s="774"/>
      <c r="PO4" s="774"/>
      <c r="PP4" s="774"/>
      <c r="PQ4" s="774"/>
      <c r="PR4" s="774"/>
      <c r="PS4" s="774"/>
      <c r="PT4" s="774"/>
      <c r="PU4" s="774"/>
      <c r="PV4" s="774"/>
      <c r="PW4" s="774"/>
      <c r="PX4" s="774"/>
      <c r="PY4" s="774"/>
      <c r="PZ4" s="774"/>
      <c r="QA4" s="774"/>
      <c r="QB4" s="774"/>
      <c r="QC4" s="774"/>
      <c r="QD4" s="774"/>
      <c r="QE4" s="774"/>
      <c r="QF4" s="774"/>
      <c r="QG4" s="774"/>
      <c r="QH4" s="774"/>
      <c r="QI4" s="774"/>
      <c r="QJ4" s="774"/>
      <c r="QK4" s="774"/>
      <c r="QL4" s="774"/>
      <c r="QM4" s="774"/>
      <c r="QN4" s="774"/>
      <c r="QO4" s="774"/>
      <c r="QP4" s="774"/>
      <c r="QQ4" s="774"/>
      <c r="QR4" s="774"/>
      <c r="QS4" s="774"/>
      <c r="QT4" s="774"/>
      <c r="QU4" s="774"/>
      <c r="QV4" s="774"/>
      <c r="QW4" s="774"/>
      <c r="QX4" s="774"/>
      <c r="QY4" s="774"/>
      <c r="QZ4" s="774"/>
      <c r="RA4" s="774"/>
      <c r="RB4" s="774"/>
      <c r="RC4" s="774"/>
      <c r="RD4" s="774"/>
      <c r="RE4" s="774"/>
      <c r="RF4" s="774"/>
      <c r="RG4" s="774"/>
      <c r="RH4" s="774"/>
      <c r="RI4" s="774"/>
      <c r="RJ4" s="774"/>
      <c r="RK4" s="774"/>
      <c r="RL4" s="774"/>
      <c r="RM4" s="774"/>
      <c r="RN4" s="774"/>
      <c r="RO4" s="774"/>
      <c r="RP4" s="774"/>
      <c r="RQ4" s="774"/>
      <c r="RR4" s="774"/>
      <c r="RS4" s="774"/>
      <c r="RT4" s="774"/>
      <c r="RU4" s="774"/>
      <c r="RV4" s="774"/>
      <c r="RW4" s="774"/>
      <c r="RX4" s="774"/>
      <c r="RY4" s="774"/>
      <c r="RZ4" s="774"/>
      <c r="SA4" s="774"/>
      <c r="SB4" s="774"/>
      <c r="SC4" s="774"/>
      <c r="SD4" s="774"/>
      <c r="SE4" s="774"/>
      <c r="SF4" s="774"/>
      <c r="SG4" s="774"/>
      <c r="SH4" s="774"/>
      <c r="SI4" s="774"/>
      <c r="SJ4" s="774"/>
      <c r="SK4" s="774"/>
      <c r="SL4" s="774"/>
      <c r="SM4" s="774"/>
      <c r="SN4" s="774"/>
      <c r="SO4" s="774"/>
      <c r="SP4" s="774"/>
      <c r="SQ4" s="774"/>
      <c r="SR4" s="774"/>
      <c r="SS4" s="774"/>
      <c r="ST4" s="774"/>
      <c r="SU4" s="774"/>
      <c r="SV4" s="774"/>
      <c r="SW4" s="774"/>
      <c r="SX4" s="774"/>
      <c r="SY4" s="774"/>
      <c r="SZ4" s="774"/>
      <c r="TA4" s="774"/>
      <c r="TB4" s="774"/>
      <c r="TC4" s="774"/>
      <c r="TD4" s="774"/>
      <c r="TE4" s="774"/>
      <c r="TF4" s="774"/>
      <c r="TG4" s="774"/>
      <c r="TH4" s="774"/>
      <c r="TI4" s="774"/>
      <c r="TJ4" s="774"/>
      <c r="TK4" s="774"/>
      <c r="TL4" s="774"/>
      <c r="TM4" s="774"/>
      <c r="TN4" s="774"/>
      <c r="TO4" s="774"/>
      <c r="TP4" s="774"/>
      <c r="TQ4" s="774"/>
      <c r="TR4" s="774"/>
      <c r="TS4" s="774"/>
      <c r="TT4" s="774"/>
      <c r="TU4" s="774"/>
      <c r="TV4" s="774"/>
      <c r="TW4" s="774"/>
      <c r="TX4" s="774"/>
      <c r="TY4" s="774"/>
      <c r="TZ4" s="774"/>
      <c r="UA4" s="774"/>
      <c r="UB4" s="774"/>
      <c r="UC4" s="774"/>
      <c r="UD4" s="774"/>
      <c r="UE4" s="774"/>
      <c r="UF4" s="774"/>
      <c r="UG4" s="774"/>
      <c r="UH4" s="774"/>
      <c r="UI4" s="774"/>
      <c r="UJ4" s="774"/>
      <c r="UK4" s="774"/>
      <c r="UL4" s="774"/>
      <c r="UM4" s="774"/>
      <c r="UN4" s="774"/>
      <c r="UO4" s="774"/>
      <c r="UP4" s="774"/>
      <c r="UQ4" s="774"/>
      <c r="UR4" s="774"/>
      <c r="US4" s="774"/>
      <c r="UT4" s="774"/>
      <c r="UU4" s="774"/>
      <c r="UV4" s="774"/>
      <c r="UW4" s="774"/>
      <c r="UX4" s="774"/>
      <c r="UY4" s="774"/>
      <c r="UZ4" s="774"/>
      <c r="VA4" s="774"/>
      <c r="VB4" s="774"/>
      <c r="VC4" s="774"/>
      <c r="VD4" s="774"/>
      <c r="VE4" s="774"/>
      <c r="VF4" s="774"/>
      <c r="VG4" s="774"/>
      <c r="VH4" s="774"/>
      <c r="VI4" s="774"/>
      <c r="VJ4" s="774"/>
      <c r="VK4" s="774"/>
      <c r="VL4" s="774"/>
      <c r="VM4" s="774"/>
      <c r="VN4" s="774"/>
      <c r="VO4" s="774"/>
      <c r="VP4" s="774"/>
      <c r="VQ4" s="774"/>
      <c r="VR4" s="774"/>
      <c r="VS4" s="774"/>
      <c r="VT4" s="774"/>
      <c r="VU4" s="774"/>
      <c r="VV4" s="774"/>
      <c r="VW4" s="774"/>
      <c r="VX4" s="774"/>
      <c r="VY4" s="774"/>
      <c r="VZ4" s="774"/>
      <c r="WA4" s="774"/>
      <c r="WB4" s="774"/>
      <c r="WC4" s="774"/>
      <c r="WD4" s="774"/>
      <c r="WE4" s="774"/>
      <c r="WF4" s="774"/>
      <c r="WG4" s="774"/>
      <c r="WH4" s="774"/>
      <c r="WI4" s="774"/>
      <c r="WJ4" s="774"/>
      <c r="WK4" s="774"/>
      <c r="WL4" s="774"/>
      <c r="WM4" s="774"/>
      <c r="WN4" s="774"/>
      <c r="WO4" s="774"/>
      <c r="WP4" s="774"/>
      <c r="WQ4" s="774"/>
      <c r="WR4" s="774"/>
      <c r="WS4" s="774"/>
      <c r="WT4" s="774"/>
      <c r="WU4" s="774"/>
      <c r="WV4" s="774"/>
      <c r="WW4" s="774"/>
      <c r="WX4" s="774"/>
      <c r="WY4" s="774"/>
      <c r="WZ4" s="774"/>
      <c r="XA4" s="774"/>
      <c r="XB4" s="774"/>
      <c r="XC4" s="774"/>
      <c r="XD4" s="774"/>
      <c r="XE4" s="774"/>
      <c r="XF4" s="774"/>
      <c r="XG4" s="774"/>
      <c r="XH4" s="774"/>
      <c r="XI4" s="774"/>
      <c r="XJ4" s="774"/>
      <c r="XK4" s="774"/>
      <c r="XL4" s="774"/>
      <c r="XM4" s="774"/>
      <c r="XN4" s="774"/>
      <c r="XO4" s="774"/>
      <c r="XP4" s="774"/>
      <c r="XQ4" s="774"/>
      <c r="XR4" s="774"/>
      <c r="XS4" s="774"/>
      <c r="XT4" s="774"/>
      <c r="XU4" s="774"/>
      <c r="XV4" s="774"/>
      <c r="XW4" s="774"/>
      <c r="XX4" s="774"/>
      <c r="XY4" s="774"/>
      <c r="XZ4" s="774"/>
      <c r="YA4" s="774"/>
      <c r="YB4" s="774"/>
      <c r="YC4" s="774"/>
      <c r="YD4" s="774"/>
      <c r="YE4" s="774"/>
      <c r="YF4" s="774"/>
      <c r="YG4" s="774"/>
      <c r="YH4" s="774"/>
      <c r="YI4" s="774"/>
      <c r="YJ4" s="774"/>
      <c r="YK4" s="774"/>
      <c r="YL4" s="774"/>
      <c r="YM4" s="774"/>
      <c r="YN4" s="774"/>
      <c r="YO4" s="774"/>
      <c r="YP4" s="774"/>
      <c r="YQ4" s="774"/>
      <c r="YR4" s="774"/>
      <c r="YS4" s="774"/>
      <c r="YT4" s="774"/>
      <c r="YU4" s="774"/>
      <c r="YV4" s="774"/>
      <c r="YW4" s="774"/>
      <c r="YX4" s="774"/>
      <c r="YY4" s="774"/>
      <c r="YZ4" s="774"/>
      <c r="ZA4" s="774"/>
      <c r="ZB4" s="774"/>
      <c r="ZC4" s="774"/>
      <c r="ZD4" s="774"/>
      <c r="ZE4" s="774"/>
      <c r="ZF4" s="774"/>
      <c r="ZG4" s="774"/>
      <c r="ZH4" s="774"/>
      <c r="ZI4" s="774"/>
      <c r="ZJ4" s="774"/>
      <c r="ZK4" s="774"/>
      <c r="ZL4" s="774"/>
      <c r="ZM4" s="774"/>
      <c r="ZN4" s="774"/>
      <c r="ZO4" s="774"/>
      <c r="ZP4" s="774"/>
      <c r="ZQ4" s="774"/>
      <c r="ZR4" s="774"/>
      <c r="ZS4" s="774"/>
      <c r="ZT4" s="774"/>
      <c r="ZU4" s="774"/>
      <c r="ZV4" s="774"/>
      <c r="ZW4" s="774"/>
      <c r="ZX4" s="774"/>
      <c r="ZY4" s="774"/>
      <c r="ZZ4" s="774"/>
      <c r="AAA4" s="774"/>
      <c r="AAB4" s="774"/>
      <c r="AAC4" s="774"/>
      <c r="AAD4" s="774"/>
      <c r="AAE4" s="774"/>
      <c r="AAF4" s="774"/>
      <c r="AAG4" s="774"/>
      <c r="AAH4" s="774"/>
      <c r="AAI4" s="774"/>
      <c r="AAJ4" s="774"/>
      <c r="AAK4" s="774"/>
      <c r="AAL4" s="774"/>
      <c r="AAM4" s="774"/>
      <c r="AAN4" s="774"/>
      <c r="AAO4" s="774"/>
      <c r="AAP4" s="774"/>
      <c r="AAQ4" s="774"/>
      <c r="AAR4" s="774"/>
      <c r="AAS4" s="774"/>
      <c r="AAT4" s="774"/>
      <c r="AAU4" s="774"/>
      <c r="AAV4" s="774"/>
      <c r="AAW4" s="774"/>
      <c r="AAX4" s="774"/>
      <c r="AAY4" s="774"/>
      <c r="AAZ4" s="774"/>
      <c r="ABA4" s="774"/>
      <c r="ABB4" s="774"/>
      <c r="ABC4" s="774"/>
      <c r="ABD4" s="774"/>
      <c r="ABE4" s="774"/>
      <c r="ABF4" s="774"/>
      <c r="ABG4" s="774"/>
      <c r="ABH4" s="774"/>
      <c r="ABI4" s="774"/>
      <c r="ABJ4" s="774"/>
      <c r="ABK4" s="774"/>
      <c r="ABL4" s="774"/>
      <c r="ABM4" s="774"/>
      <c r="ABN4" s="774"/>
      <c r="ABO4" s="774"/>
      <c r="ABP4" s="774"/>
      <c r="ABQ4" s="774"/>
      <c r="ABR4" s="774"/>
      <c r="ABS4" s="774"/>
      <c r="ABT4" s="774"/>
      <c r="ABU4" s="774"/>
      <c r="ABV4" s="774"/>
      <c r="ABW4" s="774"/>
      <c r="ABX4" s="774"/>
      <c r="ABY4" s="774"/>
      <c r="ABZ4" s="774"/>
      <c r="ACA4" s="774"/>
      <c r="ACB4" s="774"/>
      <c r="ACC4" s="774"/>
      <c r="ACD4" s="774"/>
      <c r="ACE4" s="774"/>
      <c r="ACF4" s="774"/>
      <c r="ACG4" s="774"/>
      <c r="ACH4" s="774"/>
      <c r="ACI4" s="774"/>
      <c r="ACJ4" s="774"/>
      <c r="ACK4" s="774"/>
      <c r="ACL4" s="774"/>
      <c r="ACM4" s="774"/>
      <c r="ACN4" s="774"/>
      <c r="ACO4" s="774"/>
      <c r="ACP4" s="774"/>
      <c r="ACQ4" s="774"/>
      <c r="ACR4" s="774"/>
      <c r="ACS4" s="774"/>
      <c r="ACT4" s="774"/>
      <c r="ACU4" s="774"/>
      <c r="ACV4" s="774"/>
      <c r="ACW4" s="774"/>
      <c r="ACX4" s="774"/>
      <c r="ACY4" s="774"/>
      <c r="ACZ4" s="774"/>
      <c r="ADA4" s="774"/>
      <c r="ADB4" s="774"/>
      <c r="ADC4" s="774"/>
      <c r="ADD4" s="774"/>
      <c r="ADE4" s="774"/>
      <c r="ADF4" s="774"/>
      <c r="ADG4" s="774"/>
      <c r="ADH4" s="774"/>
      <c r="ADI4" s="774"/>
      <c r="ADJ4" s="774"/>
      <c r="ADK4" s="774"/>
      <c r="ADL4" s="774"/>
      <c r="ADM4" s="774"/>
      <c r="ADN4" s="774"/>
      <c r="ADO4" s="774"/>
      <c r="ADP4" s="774"/>
      <c r="ADQ4" s="774"/>
      <c r="ADR4" s="774"/>
      <c r="ADS4" s="774"/>
      <c r="ADT4" s="774"/>
      <c r="ADU4" s="774"/>
      <c r="ADV4" s="774"/>
      <c r="ADW4" s="774"/>
      <c r="ADX4" s="774"/>
      <c r="ADY4" s="774"/>
      <c r="ADZ4" s="774"/>
      <c r="AEA4" s="774"/>
      <c r="AEB4" s="774"/>
      <c r="AEC4" s="774"/>
      <c r="AED4" s="774"/>
      <c r="AEE4" s="774"/>
      <c r="AEF4" s="774"/>
      <c r="AEG4" s="774"/>
      <c r="AEH4" s="774"/>
      <c r="AEI4" s="774"/>
      <c r="AEJ4" s="774"/>
      <c r="AEK4" s="774"/>
      <c r="AEL4" s="774"/>
      <c r="AEM4" s="774"/>
      <c r="AEN4" s="774"/>
      <c r="AEO4" s="774"/>
      <c r="AEP4" s="774"/>
      <c r="AEQ4" s="774"/>
      <c r="AER4" s="774"/>
      <c r="AES4" s="774"/>
      <c r="AET4" s="774"/>
      <c r="AEU4" s="774"/>
      <c r="AEV4" s="774"/>
      <c r="AEW4" s="774"/>
      <c r="AEX4" s="774"/>
      <c r="AEY4" s="774"/>
      <c r="AEZ4" s="774"/>
      <c r="AFA4" s="774"/>
      <c r="AFB4" s="774"/>
      <c r="AFC4" s="774"/>
      <c r="AFD4" s="774"/>
      <c r="AFE4" s="774"/>
      <c r="AFF4" s="774"/>
      <c r="AFG4" s="774"/>
      <c r="AFH4" s="774"/>
      <c r="AFI4" s="774"/>
      <c r="AFJ4" s="774"/>
      <c r="AFK4" s="774"/>
      <c r="AFL4" s="774"/>
      <c r="AFM4" s="774"/>
      <c r="AFN4" s="774"/>
      <c r="AFO4" s="774"/>
      <c r="AFP4" s="774"/>
      <c r="AFQ4" s="774"/>
      <c r="AFR4" s="774"/>
      <c r="AFS4" s="774"/>
      <c r="AFT4" s="774"/>
      <c r="AFU4" s="774"/>
      <c r="AFV4" s="774"/>
      <c r="AFW4" s="774"/>
      <c r="AFX4" s="774"/>
      <c r="AFY4" s="774"/>
      <c r="AFZ4" s="774"/>
      <c r="AGA4" s="774"/>
      <c r="AGB4" s="774"/>
      <c r="AGC4" s="774"/>
      <c r="AGD4" s="774"/>
      <c r="AGE4" s="774"/>
      <c r="AGF4" s="774"/>
      <c r="AGG4" s="774"/>
      <c r="AGH4" s="774"/>
      <c r="AGI4" s="774"/>
      <c r="AGJ4" s="774"/>
      <c r="AGK4" s="774"/>
      <c r="AGL4" s="774"/>
      <c r="AGM4" s="774"/>
      <c r="AGN4" s="774"/>
      <c r="AGO4" s="774"/>
      <c r="AGP4" s="774"/>
      <c r="AGQ4" s="774"/>
      <c r="AGR4" s="774"/>
      <c r="AGS4" s="774"/>
      <c r="AGT4" s="774"/>
      <c r="AGU4" s="774"/>
      <c r="AGV4" s="774"/>
      <c r="AGW4" s="774"/>
      <c r="AGX4" s="774"/>
      <c r="AGY4" s="774"/>
      <c r="AGZ4" s="774"/>
      <c r="AHA4" s="774"/>
      <c r="AHB4" s="774"/>
      <c r="AHC4" s="774"/>
      <c r="AHD4" s="774"/>
      <c r="AHE4" s="774"/>
      <c r="AHF4" s="774"/>
      <c r="AHG4" s="774"/>
      <c r="AHH4" s="774"/>
      <c r="AHI4" s="774"/>
      <c r="AHJ4" s="774"/>
      <c r="AHK4" s="774"/>
      <c r="AHL4" s="774"/>
      <c r="AHM4" s="774"/>
      <c r="AHN4" s="774"/>
      <c r="AHO4" s="774"/>
      <c r="AHP4" s="774"/>
      <c r="AHQ4" s="774"/>
      <c r="AHR4" s="774"/>
      <c r="AHS4" s="774"/>
      <c r="AHT4" s="774"/>
      <c r="AHU4" s="774"/>
      <c r="AHV4" s="774"/>
      <c r="AHW4" s="774"/>
      <c r="AHX4" s="774"/>
      <c r="AHY4" s="774"/>
      <c r="AHZ4" s="774"/>
      <c r="AIA4" s="774"/>
      <c r="AIB4" s="774"/>
      <c r="AIC4" s="774"/>
      <c r="AID4" s="774"/>
      <c r="AIE4" s="774"/>
      <c r="AIF4" s="774"/>
      <c r="AIG4" s="774"/>
      <c r="AIH4" s="774"/>
      <c r="AII4" s="774"/>
      <c r="AIJ4" s="774"/>
      <c r="AIK4" s="774"/>
      <c r="AIL4" s="774"/>
      <c r="AIM4" s="774"/>
      <c r="AIN4" s="774"/>
      <c r="AIO4" s="774"/>
      <c r="AIP4" s="774"/>
      <c r="AIQ4" s="774"/>
      <c r="AIR4" s="774"/>
      <c r="AIS4" s="774"/>
      <c r="AIT4" s="774"/>
      <c r="AIU4" s="774"/>
      <c r="AIV4" s="774"/>
      <c r="AIW4" s="774"/>
      <c r="AIX4" s="774"/>
      <c r="AIY4" s="774"/>
      <c r="AIZ4" s="774"/>
      <c r="AJA4" s="774"/>
      <c r="AJB4" s="774"/>
      <c r="AJC4" s="774"/>
      <c r="AJD4" s="774"/>
      <c r="AJE4" s="774"/>
      <c r="AJF4" s="774"/>
      <c r="AJG4" s="774"/>
      <c r="AJH4" s="774"/>
      <c r="AJI4" s="774"/>
      <c r="AJJ4" s="774"/>
      <c r="AJK4" s="774"/>
      <c r="AJL4" s="774"/>
      <c r="AJM4" s="774"/>
      <c r="AJN4" s="774"/>
      <c r="AJO4" s="774"/>
      <c r="AJP4" s="774"/>
      <c r="AJQ4" s="774"/>
      <c r="AJR4" s="774"/>
      <c r="AJS4" s="774"/>
      <c r="AJT4" s="774"/>
      <c r="AJU4" s="774"/>
      <c r="AJV4" s="774"/>
      <c r="AJW4" s="774"/>
      <c r="AJX4" s="774"/>
      <c r="AJY4" s="774"/>
      <c r="AJZ4" s="774"/>
      <c r="AKA4" s="774"/>
      <c r="AKB4" s="774"/>
      <c r="AKC4" s="774"/>
      <c r="AKD4" s="774"/>
      <c r="AKE4" s="774"/>
      <c r="AKF4" s="774"/>
      <c r="AKG4" s="774"/>
      <c r="AKH4" s="774"/>
      <c r="AKI4" s="774"/>
      <c r="AKJ4" s="774"/>
      <c r="AKK4" s="774"/>
      <c r="AKL4" s="774"/>
      <c r="AKM4" s="774"/>
      <c r="AKN4" s="774"/>
      <c r="AKO4" s="774"/>
      <c r="AKP4" s="774"/>
      <c r="AKQ4" s="774"/>
      <c r="AKR4" s="774"/>
      <c r="AKS4" s="774"/>
      <c r="AKT4" s="774"/>
      <c r="AKU4" s="774"/>
      <c r="AKV4" s="774"/>
      <c r="AKW4" s="774"/>
      <c r="AKX4" s="774"/>
      <c r="AKY4" s="774"/>
      <c r="AKZ4" s="774"/>
      <c r="ALA4" s="774"/>
      <c r="ALB4" s="774"/>
      <c r="ALC4" s="774"/>
      <c r="ALD4" s="774"/>
      <c r="ALE4" s="774"/>
      <c r="ALF4" s="774"/>
      <c r="ALG4" s="774"/>
      <c r="ALH4" s="774"/>
      <c r="ALI4" s="774"/>
      <c r="ALJ4" s="774"/>
      <c r="ALK4" s="774"/>
      <c r="ALL4" s="774"/>
      <c r="ALM4" s="774"/>
      <c r="ALN4" s="774"/>
      <c r="ALO4" s="774"/>
      <c r="ALP4" s="774"/>
      <c r="ALQ4" s="774"/>
      <c r="ALR4" s="774"/>
      <c r="ALS4" s="774"/>
      <c r="ALT4" s="774"/>
      <c r="ALU4" s="774"/>
      <c r="ALV4" s="774"/>
      <c r="ALW4" s="774"/>
      <c r="ALX4" s="774"/>
      <c r="ALY4" s="774"/>
      <c r="ALZ4" s="774"/>
      <c r="AMA4" s="774"/>
      <c r="AMB4" s="774"/>
      <c r="AMC4" s="774"/>
      <c r="AMD4" s="774"/>
      <c r="AME4" s="774"/>
      <c r="AMF4" s="774"/>
      <c r="AMG4" s="774"/>
      <c r="AMH4" s="774"/>
      <c r="AMI4" s="774"/>
      <c r="AMJ4" s="774"/>
    </row>
    <row r="5" spans="1:1024">
      <c r="B5" s="765" t="s">
        <v>378</v>
      </c>
      <c r="C5" s="765"/>
    </row>
    <row r="6" spans="1:1024" ht="15.75" customHeight="1">
      <c r="A6" s="408"/>
      <c r="B6" s="366">
        <f>IFERROR(IF(Indice!B8="","2XX2",YEAR(Indice!B8)),"2XX2")</f>
        <v>2025</v>
      </c>
      <c r="C6" s="366">
        <f>IFERROR(YEAR(Indice!B8-365),"2XX1")</f>
        <v>2024</v>
      </c>
      <c r="D6" s="408"/>
    </row>
    <row r="7" spans="1:1024" ht="15" customHeight="1">
      <c r="A7" s="409" t="s">
        <v>498</v>
      </c>
      <c r="B7" s="410">
        <v>0</v>
      </c>
      <c r="C7" s="410">
        <v>0</v>
      </c>
      <c r="D7" s="4"/>
    </row>
    <row r="8" spans="1:1024" s="4" customFormat="1" ht="15" customHeight="1">
      <c r="A8" s="3" t="s">
        <v>499</v>
      </c>
      <c r="B8" s="411">
        <v>0</v>
      </c>
      <c r="C8" s="411">
        <v>0</v>
      </c>
      <c r="D8" s="3"/>
      <c r="E8" s="705"/>
      <c r="F8" s="705"/>
      <c r="G8" s="705"/>
      <c r="H8" s="705"/>
      <c r="I8" s="705"/>
      <c r="J8" s="705"/>
      <c r="K8" s="705"/>
      <c r="L8" s="705"/>
      <c r="M8" s="705"/>
      <c r="N8" s="705"/>
      <c r="O8" s="705"/>
      <c r="P8" s="705"/>
      <c r="Q8" s="705"/>
      <c r="R8" s="705"/>
      <c r="S8" s="705"/>
      <c r="T8" s="705"/>
      <c r="U8" s="705"/>
      <c r="V8" s="705"/>
      <c r="W8" s="705"/>
      <c r="X8" s="705"/>
      <c r="Y8" s="705"/>
      <c r="Z8" s="705"/>
      <c r="AA8" s="705"/>
      <c r="AB8" s="705"/>
      <c r="AC8" s="705"/>
      <c r="AD8" s="705"/>
      <c r="AE8" s="705"/>
      <c r="AF8" s="705"/>
      <c r="AG8" s="705"/>
      <c r="AH8" s="705"/>
      <c r="AI8" s="705"/>
      <c r="AJ8" s="705"/>
      <c r="AK8" s="705"/>
      <c r="AL8" s="705"/>
      <c r="AM8" s="705"/>
      <c r="AN8" s="705"/>
      <c r="AO8" s="705"/>
      <c r="AP8" s="705"/>
      <c r="AQ8" s="705"/>
      <c r="AR8" s="705"/>
      <c r="AS8" s="705"/>
      <c r="AT8" s="705"/>
      <c r="AU8" s="705"/>
      <c r="AV8" s="705"/>
      <c r="AW8" s="705"/>
      <c r="AX8" s="705"/>
      <c r="AY8" s="705"/>
      <c r="AZ8" s="705"/>
      <c r="BA8" s="705"/>
      <c r="BB8" s="705"/>
      <c r="BC8" s="705"/>
      <c r="BD8" s="705"/>
      <c r="BE8" s="705"/>
      <c r="BF8" s="705"/>
      <c r="BG8" s="705"/>
      <c r="BH8" s="705"/>
      <c r="BI8" s="705"/>
      <c r="BJ8" s="705"/>
      <c r="BK8" s="705"/>
      <c r="BL8" s="705"/>
      <c r="BM8" s="705"/>
      <c r="BN8" s="705"/>
      <c r="BO8" s="705"/>
      <c r="BP8" s="705"/>
      <c r="BQ8" s="705"/>
      <c r="BR8" s="705"/>
      <c r="BS8" s="705"/>
      <c r="BT8" s="705"/>
      <c r="BU8" s="705"/>
      <c r="BV8" s="705"/>
      <c r="BW8" s="705"/>
      <c r="BX8" s="705"/>
      <c r="BY8" s="705"/>
      <c r="BZ8" s="705"/>
      <c r="CA8" s="705"/>
      <c r="CB8" s="705"/>
      <c r="CC8" s="705"/>
      <c r="CD8" s="705"/>
      <c r="CE8" s="705"/>
      <c r="CF8" s="705"/>
      <c r="CG8" s="705"/>
      <c r="CH8" s="705"/>
      <c r="CI8" s="705"/>
      <c r="CJ8" s="705"/>
      <c r="CK8" s="705"/>
      <c r="CL8" s="705"/>
      <c r="CM8" s="705"/>
      <c r="CN8" s="705"/>
      <c r="CO8" s="705"/>
      <c r="CP8" s="705"/>
      <c r="CQ8" s="705"/>
      <c r="CR8" s="705"/>
      <c r="CS8" s="705"/>
      <c r="CT8" s="705"/>
      <c r="CU8" s="705"/>
      <c r="CV8" s="705"/>
      <c r="CW8" s="705"/>
      <c r="CX8" s="705"/>
      <c r="CY8" s="705"/>
      <c r="CZ8" s="705"/>
      <c r="DA8" s="705"/>
      <c r="DB8" s="705"/>
      <c r="DC8" s="705"/>
      <c r="DD8" s="705"/>
      <c r="DE8" s="705"/>
      <c r="DF8" s="705"/>
      <c r="DG8" s="705"/>
      <c r="DH8" s="705"/>
      <c r="DI8" s="705"/>
      <c r="DJ8" s="705"/>
      <c r="DK8" s="705"/>
      <c r="DL8" s="705"/>
      <c r="DM8" s="705"/>
      <c r="DN8" s="705"/>
      <c r="DO8" s="705"/>
      <c r="DP8" s="705"/>
      <c r="DQ8" s="705"/>
      <c r="DR8" s="705"/>
      <c r="DS8" s="705"/>
      <c r="DT8" s="705"/>
      <c r="DU8" s="705"/>
      <c r="DV8" s="705"/>
      <c r="DW8" s="705"/>
      <c r="DX8" s="705"/>
      <c r="DY8" s="705"/>
      <c r="DZ8" s="705"/>
      <c r="EA8" s="705"/>
      <c r="EB8" s="705"/>
      <c r="EC8" s="705"/>
      <c r="ED8" s="705"/>
      <c r="EE8" s="705"/>
      <c r="EF8" s="705"/>
      <c r="EG8" s="705"/>
      <c r="EH8" s="705"/>
      <c r="EI8" s="705"/>
      <c r="EJ8" s="705"/>
      <c r="EK8" s="705"/>
      <c r="EL8" s="705"/>
      <c r="EM8" s="705"/>
      <c r="EN8" s="705"/>
      <c r="EO8" s="705"/>
      <c r="EP8" s="705"/>
      <c r="EQ8" s="705"/>
      <c r="ER8" s="705"/>
      <c r="ES8" s="705"/>
      <c r="ET8" s="705"/>
      <c r="EU8" s="705"/>
      <c r="EV8" s="705"/>
      <c r="EW8" s="705"/>
      <c r="EX8" s="705"/>
      <c r="EY8" s="705"/>
      <c r="EZ8" s="705"/>
      <c r="FA8" s="705"/>
      <c r="FB8" s="705"/>
      <c r="FC8" s="705"/>
      <c r="FD8" s="705"/>
      <c r="FE8" s="705"/>
      <c r="FF8" s="705"/>
      <c r="FG8" s="705"/>
      <c r="FH8" s="705"/>
      <c r="FI8" s="705"/>
      <c r="FJ8" s="705"/>
      <c r="FK8" s="705"/>
      <c r="FL8" s="705"/>
      <c r="FM8" s="705"/>
      <c r="FN8" s="705"/>
      <c r="FO8" s="705"/>
      <c r="FP8" s="705"/>
      <c r="FQ8" s="705"/>
      <c r="FR8" s="705"/>
      <c r="FS8" s="705"/>
      <c r="FT8" s="705"/>
      <c r="FU8" s="705"/>
      <c r="FV8" s="705"/>
      <c r="FW8" s="705"/>
      <c r="FX8" s="705"/>
      <c r="FY8" s="705"/>
      <c r="FZ8" s="705"/>
      <c r="GA8" s="705"/>
      <c r="GB8" s="705"/>
      <c r="GC8" s="705"/>
      <c r="GD8" s="705"/>
      <c r="GE8" s="705"/>
      <c r="GF8" s="705"/>
      <c r="GG8" s="705"/>
      <c r="GH8" s="705"/>
      <c r="GI8" s="705"/>
      <c r="GJ8" s="705"/>
      <c r="GK8" s="705"/>
      <c r="GL8" s="705"/>
      <c r="GM8" s="705"/>
      <c r="GN8" s="705"/>
      <c r="GO8" s="705"/>
      <c r="GP8" s="705"/>
      <c r="GQ8" s="705"/>
      <c r="GR8" s="705"/>
      <c r="GS8" s="705"/>
      <c r="GT8" s="705"/>
      <c r="GU8" s="705"/>
      <c r="GV8" s="705"/>
      <c r="GW8" s="705"/>
      <c r="GX8" s="705"/>
      <c r="GY8" s="705"/>
      <c r="GZ8" s="705"/>
      <c r="HA8" s="705"/>
      <c r="HB8" s="705"/>
      <c r="HC8" s="705"/>
      <c r="HD8" s="705"/>
      <c r="HE8" s="705"/>
      <c r="HF8" s="705"/>
      <c r="HG8" s="705"/>
      <c r="HH8" s="705"/>
      <c r="HI8" s="705"/>
      <c r="HJ8" s="705"/>
      <c r="HK8" s="705"/>
      <c r="HL8" s="705"/>
      <c r="HM8" s="705"/>
      <c r="HN8" s="705"/>
      <c r="HO8" s="705"/>
      <c r="HP8" s="705"/>
      <c r="HQ8" s="705"/>
      <c r="HR8" s="705"/>
      <c r="HS8" s="705"/>
      <c r="HT8" s="705"/>
      <c r="HU8" s="705"/>
      <c r="HV8" s="705"/>
      <c r="HW8" s="705"/>
      <c r="HX8" s="705"/>
      <c r="HY8" s="705"/>
      <c r="HZ8" s="705"/>
      <c r="IA8" s="705"/>
      <c r="IB8" s="705"/>
      <c r="IC8" s="705"/>
      <c r="ID8" s="705"/>
      <c r="IE8" s="705"/>
      <c r="IF8" s="705"/>
      <c r="IG8" s="705"/>
      <c r="IH8" s="705"/>
      <c r="II8" s="705"/>
      <c r="IJ8" s="705"/>
      <c r="IK8" s="705"/>
      <c r="IL8" s="705"/>
      <c r="IM8" s="705"/>
      <c r="IN8" s="705"/>
      <c r="IO8" s="705"/>
      <c r="IP8" s="705"/>
      <c r="IQ8" s="705"/>
      <c r="IR8" s="705"/>
      <c r="IS8" s="705"/>
      <c r="IT8" s="705"/>
      <c r="IU8" s="705"/>
      <c r="IV8" s="705"/>
      <c r="IW8" s="705"/>
      <c r="IX8" s="705"/>
      <c r="IY8" s="705"/>
      <c r="IZ8" s="705"/>
      <c r="JA8" s="705"/>
      <c r="JB8" s="705"/>
      <c r="JC8" s="705"/>
      <c r="JD8" s="705"/>
      <c r="JE8" s="705"/>
      <c r="JF8" s="705"/>
      <c r="JG8" s="705"/>
      <c r="JH8" s="705"/>
      <c r="JI8" s="705"/>
      <c r="JJ8" s="705"/>
      <c r="JK8" s="705"/>
      <c r="JL8" s="705"/>
      <c r="JM8" s="705"/>
      <c r="JN8" s="705"/>
      <c r="JO8" s="705"/>
      <c r="JP8" s="705"/>
      <c r="JQ8" s="705"/>
      <c r="JR8" s="705"/>
      <c r="JS8" s="705"/>
      <c r="JT8" s="705"/>
      <c r="JU8" s="705"/>
      <c r="JV8" s="705"/>
      <c r="JW8" s="705"/>
      <c r="JX8" s="705"/>
      <c r="JY8" s="705"/>
      <c r="JZ8" s="705"/>
      <c r="KA8" s="705"/>
      <c r="KB8" s="705"/>
      <c r="KC8" s="705"/>
      <c r="KD8" s="705"/>
      <c r="KE8" s="705"/>
      <c r="KF8" s="705"/>
      <c r="KG8" s="705"/>
      <c r="KH8" s="705"/>
      <c r="KI8" s="705"/>
      <c r="KJ8" s="705"/>
      <c r="KK8" s="705"/>
      <c r="KL8" s="705"/>
      <c r="KM8" s="705"/>
      <c r="KN8" s="705"/>
      <c r="KO8" s="705"/>
      <c r="KP8" s="705"/>
      <c r="KQ8" s="705"/>
      <c r="KR8" s="705"/>
      <c r="KS8" s="705"/>
      <c r="KT8" s="705"/>
      <c r="KU8" s="705"/>
      <c r="KV8" s="705"/>
      <c r="KW8" s="705"/>
      <c r="KX8" s="705"/>
      <c r="KY8" s="705"/>
      <c r="KZ8" s="705"/>
      <c r="LA8" s="705"/>
      <c r="LB8" s="705"/>
      <c r="LC8" s="705"/>
      <c r="LD8" s="705"/>
      <c r="LE8" s="705"/>
      <c r="LF8" s="705"/>
      <c r="LG8" s="705"/>
      <c r="LH8" s="705"/>
      <c r="LI8" s="705"/>
      <c r="LJ8" s="705"/>
      <c r="LK8" s="705"/>
      <c r="LL8" s="705"/>
      <c r="LM8" s="705"/>
      <c r="LN8" s="705"/>
      <c r="LO8" s="705"/>
      <c r="LP8" s="705"/>
      <c r="LQ8" s="705"/>
      <c r="LR8" s="705"/>
      <c r="LS8" s="705"/>
      <c r="LT8" s="705"/>
      <c r="LU8" s="705"/>
      <c r="LV8" s="705"/>
      <c r="LW8" s="705"/>
      <c r="LX8" s="705"/>
      <c r="LY8" s="705"/>
      <c r="LZ8" s="705"/>
      <c r="MA8" s="705"/>
      <c r="MB8" s="705"/>
      <c r="MC8" s="705"/>
      <c r="MD8" s="705"/>
      <c r="ME8" s="705"/>
      <c r="MF8" s="705"/>
      <c r="MG8" s="705"/>
      <c r="MH8" s="705"/>
      <c r="MI8" s="705"/>
      <c r="MJ8" s="705"/>
      <c r="MK8" s="705"/>
      <c r="ML8" s="705"/>
      <c r="MM8" s="705"/>
      <c r="MN8" s="705"/>
      <c r="MO8" s="705"/>
      <c r="MP8" s="705"/>
      <c r="MQ8" s="705"/>
      <c r="MR8" s="705"/>
      <c r="MS8" s="705"/>
      <c r="MT8" s="705"/>
      <c r="MU8" s="705"/>
      <c r="MV8" s="705"/>
      <c r="MW8" s="705"/>
      <c r="MX8" s="705"/>
      <c r="MY8" s="705"/>
      <c r="MZ8" s="705"/>
      <c r="NA8" s="705"/>
      <c r="NB8" s="705"/>
      <c r="NC8" s="705"/>
      <c r="ND8" s="705"/>
      <c r="NE8" s="705"/>
      <c r="NF8" s="705"/>
      <c r="NG8" s="705"/>
      <c r="NH8" s="705"/>
      <c r="NI8" s="705"/>
      <c r="NJ8" s="705"/>
      <c r="NK8" s="705"/>
      <c r="NL8" s="705"/>
      <c r="NM8" s="705"/>
      <c r="NN8" s="705"/>
      <c r="NO8" s="705"/>
      <c r="NP8" s="705"/>
      <c r="NQ8" s="705"/>
      <c r="NR8" s="705"/>
      <c r="NS8" s="705"/>
      <c r="NT8" s="705"/>
      <c r="NU8" s="705"/>
      <c r="NV8" s="705"/>
      <c r="NW8" s="705"/>
      <c r="NX8" s="705"/>
      <c r="NY8" s="705"/>
      <c r="NZ8" s="705"/>
      <c r="OA8" s="705"/>
      <c r="OB8" s="705"/>
      <c r="OC8" s="705"/>
      <c r="OD8" s="705"/>
      <c r="OE8" s="705"/>
      <c r="OF8" s="705"/>
      <c r="OG8" s="705"/>
      <c r="OH8" s="705"/>
      <c r="OI8" s="705"/>
      <c r="OJ8" s="705"/>
      <c r="OK8" s="705"/>
      <c r="OL8" s="705"/>
      <c r="OM8" s="705"/>
      <c r="ON8" s="705"/>
      <c r="OO8" s="705"/>
      <c r="OP8" s="705"/>
      <c r="OQ8" s="705"/>
      <c r="OR8" s="705"/>
      <c r="OS8" s="705"/>
      <c r="OT8" s="705"/>
      <c r="OU8" s="705"/>
      <c r="OV8" s="705"/>
      <c r="OW8" s="705"/>
      <c r="OX8" s="705"/>
      <c r="OY8" s="705"/>
      <c r="OZ8" s="705"/>
      <c r="PA8" s="705"/>
      <c r="PB8" s="705"/>
      <c r="PC8" s="705"/>
      <c r="PD8" s="705"/>
      <c r="PE8" s="705"/>
      <c r="PF8" s="705"/>
      <c r="PG8" s="705"/>
      <c r="PH8" s="705"/>
      <c r="PI8" s="705"/>
      <c r="PJ8" s="705"/>
      <c r="PK8" s="705"/>
      <c r="PL8" s="705"/>
      <c r="PM8" s="705"/>
      <c r="PN8" s="705"/>
      <c r="PO8" s="705"/>
      <c r="PP8" s="705"/>
      <c r="PQ8" s="705"/>
      <c r="PR8" s="705"/>
      <c r="PS8" s="705"/>
      <c r="PT8" s="705"/>
      <c r="PU8" s="705"/>
      <c r="PV8" s="705"/>
      <c r="PW8" s="705"/>
      <c r="PX8" s="705"/>
      <c r="PY8" s="705"/>
      <c r="PZ8" s="705"/>
      <c r="QA8" s="705"/>
      <c r="QB8" s="705"/>
      <c r="QC8" s="705"/>
      <c r="QD8" s="705"/>
      <c r="QE8" s="705"/>
      <c r="QF8" s="705"/>
      <c r="QG8" s="705"/>
      <c r="QH8" s="705"/>
      <c r="QI8" s="705"/>
      <c r="QJ8" s="705"/>
      <c r="QK8" s="705"/>
      <c r="QL8" s="705"/>
      <c r="QM8" s="705"/>
      <c r="QN8" s="705"/>
      <c r="QO8" s="705"/>
      <c r="QP8" s="705"/>
      <c r="QQ8" s="705"/>
      <c r="QR8" s="705"/>
      <c r="QS8" s="705"/>
      <c r="QT8" s="705"/>
      <c r="QU8" s="705"/>
      <c r="QV8" s="705"/>
      <c r="QW8" s="705"/>
      <c r="QX8" s="705"/>
      <c r="QY8" s="705"/>
      <c r="QZ8" s="705"/>
      <c r="RA8" s="705"/>
      <c r="RB8" s="705"/>
      <c r="RC8" s="705"/>
      <c r="RD8" s="705"/>
      <c r="RE8" s="705"/>
      <c r="RF8" s="705"/>
      <c r="RG8" s="705"/>
      <c r="RH8" s="705"/>
      <c r="RI8" s="705"/>
      <c r="RJ8" s="705"/>
      <c r="RK8" s="705"/>
      <c r="RL8" s="705"/>
      <c r="RM8" s="705"/>
      <c r="RN8" s="705"/>
      <c r="RO8" s="705"/>
      <c r="RP8" s="705"/>
      <c r="RQ8" s="705"/>
      <c r="RR8" s="705"/>
      <c r="RS8" s="705"/>
      <c r="RT8" s="705"/>
      <c r="RU8" s="705"/>
      <c r="RV8" s="705"/>
      <c r="RW8" s="705"/>
      <c r="RX8" s="705"/>
      <c r="RY8" s="705"/>
      <c r="RZ8" s="705"/>
      <c r="SA8" s="705"/>
      <c r="SB8" s="705"/>
      <c r="SC8" s="705"/>
      <c r="SD8" s="705"/>
      <c r="SE8" s="705"/>
      <c r="SF8" s="705"/>
      <c r="SG8" s="705"/>
      <c r="SH8" s="705"/>
      <c r="SI8" s="705"/>
      <c r="SJ8" s="705"/>
      <c r="SK8" s="705"/>
      <c r="SL8" s="705"/>
      <c r="SM8" s="705"/>
      <c r="SN8" s="705"/>
      <c r="SO8" s="705"/>
      <c r="SP8" s="705"/>
      <c r="SQ8" s="705"/>
      <c r="SR8" s="705"/>
      <c r="SS8" s="705"/>
      <c r="ST8" s="705"/>
      <c r="SU8" s="705"/>
      <c r="SV8" s="705"/>
      <c r="SW8" s="705"/>
      <c r="SX8" s="705"/>
      <c r="SY8" s="705"/>
      <c r="SZ8" s="705"/>
      <c r="TA8" s="705"/>
      <c r="TB8" s="705"/>
      <c r="TC8" s="705"/>
      <c r="TD8" s="705"/>
      <c r="TE8" s="705"/>
      <c r="TF8" s="705"/>
      <c r="TG8" s="705"/>
      <c r="TH8" s="705"/>
      <c r="TI8" s="705"/>
      <c r="TJ8" s="705"/>
      <c r="TK8" s="705"/>
      <c r="TL8" s="705"/>
      <c r="TM8" s="705"/>
      <c r="TN8" s="705"/>
      <c r="TO8" s="705"/>
      <c r="TP8" s="705"/>
      <c r="TQ8" s="705"/>
      <c r="TR8" s="705"/>
      <c r="TS8" s="705"/>
      <c r="TT8" s="705"/>
      <c r="TU8" s="705"/>
      <c r="TV8" s="705"/>
      <c r="TW8" s="705"/>
      <c r="TX8" s="705"/>
      <c r="TY8" s="705"/>
      <c r="TZ8" s="705"/>
      <c r="UA8" s="705"/>
      <c r="UB8" s="705"/>
      <c r="UC8" s="705"/>
      <c r="UD8" s="705"/>
      <c r="UE8" s="705"/>
      <c r="UF8" s="705"/>
      <c r="UG8" s="705"/>
      <c r="UH8" s="705"/>
      <c r="UI8" s="705"/>
      <c r="UJ8" s="705"/>
      <c r="UK8" s="705"/>
      <c r="UL8" s="705"/>
      <c r="UM8" s="705"/>
      <c r="UN8" s="705"/>
      <c r="UO8" s="705"/>
      <c r="UP8" s="705"/>
      <c r="UQ8" s="705"/>
      <c r="UR8" s="705"/>
      <c r="US8" s="705"/>
      <c r="UT8" s="705"/>
      <c r="UU8" s="705"/>
      <c r="UV8" s="705"/>
      <c r="UW8" s="705"/>
      <c r="UX8" s="705"/>
      <c r="UY8" s="705"/>
      <c r="UZ8" s="705"/>
      <c r="VA8" s="705"/>
      <c r="VB8" s="705"/>
      <c r="VC8" s="705"/>
      <c r="VD8" s="705"/>
      <c r="VE8" s="705"/>
      <c r="VF8" s="705"/>
      <c r="VG8" s="705"/>
      <c r="VH8" s="705"/>
      <c r="VI8" s="705"/>
      <c r="VJ8" s="705"/>
      <c r="VK8" s="705"/>
      <c r="VL8" s="705"/>
      <c r="VM8" s="705"/>
      <c r="VN8" s="705"/>
      <c r="VO8" s="705"/>
      <c r="VP8" s="705"/>
      <c r="VQ8" s="705"/>
      <c r="VR8" s="705"/>
      <c r="VS8" s="705"/>
      <c r="VT8" s="705"/>
      <c r="VU8" s="705"/>
      <c r="VV8" s="705"/>
      <c r="VW8" s="705"/>
      <c r="VX8" s="705"/>
      <c r="VY8" s="705"/>
      <c r="VZ8" s="705"/>
      <c r="WA8" s="705"/>
      <c r="WB8" s="705"/>
      <c r="WC8" s="705"/>
      <c r="WD8" s="705"/>
      <c r="WE8" s="705"/>
      <c r="WF8" s="705"/>
      <c r="WG8" s="705"/>
      <c r="WH8" s="705"/>
      <c r="WI8" s="705"/>
      <c r="WJ8" s="705"/>
      <c r="WK8" s="705"/>
      <c r="WL8" s="705"/>
      <c r="WM8" s="705"/>
      <c r="WN8" s="705"/>
      <c r="WO8" s="705"/>
      <c r="WP8" s="705"/>
      <c r="WQ8" s="705"/>
      <c r="WR8" s="705"/>
      <c r="WS8" s="705"/>
      <c r="WT8" s="705"/>
      <c r="WU8" s="705"/>
      <c r="WV8" s="705"/>
      <c r="WW8" s="705"/>
      <c r="WX8" s="705"/>
      <c r="WY8" s="705"/>
      <c r="WZ8" s="705"/>
      <c r="XA8" s="705"/>
      <c r="XB8" s="705"/>
      <c r="XC8" s="705"/>
      <c r="XD8" s="705"/>
      <c r="XE8" s="705"/>
      <c r="XF8" s="705"/>
      <c r="XG8" s="705"/>
      <c r="XH8" s="705"/>
      <c r="XI8" s="705"/>
      <c r="XJ8" s="705"/>
      <c r="XK8" s="705"/>
      <c r="XL8" s="705"/>
      <c r="XM8" s="705"/>
      <c r="XN8" s="705"/>
      <c r="XO8" s="705"/>
      <c r="XP8" s="705"/>
      <c r="XQ8" s="705"/>
      <c r="XR8" s="705"/>
      <c r="XS8" s="705"/>
      <c r="XT8" s="705"/>
      <c r="XU8" s="705"/>
      <c r="XV8" s="705"/>
      <c r="XW8" s="705"/>
      <c r="XX8" s="705"/>
      <c r="XY8" s="705"/>
      <c r="XZ8" s="705"/>
      <c r="YA8" s="705"/>
      <c r="YB8" s="705"/>
      <c r="YC8" s="705"/>
      <c r="YD8" s="705"/>
      <c r="YE8" s="705"/>
      <c r="YF8" s="705"/>
      <c r="YG8" s="705"/>
      <c r="YH8" s="705"/>
      <c r="YI8" s="705"/>
      <c r="YJ8" s="705"/>
      <c r="YK8" s="705"/>
      <c r="YL8" s="705"/>
      <c r="YM8" s="705"/>
      <c r="YN8" s="705"/>
      <c r="YO8" s="705"/>
      <c r="YP8" s="705"/>
      <c r="YQ8" s="705"/>
      <c r="YR8" s="705"/>
      <c r="YS8" s="705"/>
      <c r="YT8" s="705"/>
      <c r="YU8" s="705"/>
      <c r="YV8" s="705"/>
      <c r="YW8" s="705"/>
      <c r="YX8" s="705"/>
      <c r="YY8" s="705"/>
      <c r="YZ8" s="705"/>
      <c r="ZA8" s="705"/>
      <c r="ZB8" s="705"/>
      <c r="ZC8" s="705"/>
      <c r="ZD8" s="705"/>
      <c r="ZE8" s="705"/>
      <c r="ZF8" s="705"/>
      <c r="ZG8" s="705"/>
      <c r="ZH8" s="705"/>
      <c r="ZI8" s="705"/>
      <c r="ZJ8" s="705"/>
      <c r="ZK8" s="705"/>
      <c r="ZL8" s="705"/>
      <c r="ZM8" s="705"/>
      <c r="ZN8" s="705"/>
      <c r="ZO8" s="705"/>
      <c r="ZP8" s="705"/>
      <c r="ZQ8" s="705"/>
      <c r="ZR8" s="705"/>
      <c r="ZS8" s="705"/>
      <c r="ZT8" s="705"/>
      <c r="ZU8" s="705"/>
      <c r="ZV8" s="705"/>
      <c r="ZW8" s="705"/>
      <c r="ZX8" s="705"/>
      <c r="ZY8" s="705"/>
      <c r="ZZ8" s="705"/>
      <c r="AAA8" s="705"/>
      <c r="AAB8" s="705"/>
      <c r="AAC8" s="705"/>
      <c r="AAD8" s="705"/>
      <c r="AAE8" s="705"/>
      <c r="AAF8" s="705"/>
      <c r="AAG8" s="705"/>
      <c r="AAH8" s="705"/>
      <c r="AAI8" s="705"/>
      <c r="AAJ8" s="705"/>
      <c r="AAK8" s="705"/>
      <c r="AAL8" s="705"/>
      <c r="AAM8" s="705"/>
      <c r="AAN8" s="705"/>
      <c r="AAO8" s="705"/>
      <c r="AAP8" s="705"/>
      <c r="AAQ8" s="705"/>
      <c r="AAR8" s="705"/>
      <c r="AAS8" s="705"/>
      <c r="AAT8" s="705"/>
      <c r="AAU8" s="705"/>
      <c r="AAV8" s="705"/>
      <c r="AAW8" s="705"/>
      <c r="AAX8" s="705"/>
      <c r="AAY8" s="705"/>
      <c r="AAZ8" s="705"/>
      <c r="ABA8" s="705"/>
      <c r="ABB8" s="705"/>
      <c r="ABC8" s="705"/>
      <c r="ABD8" s="705"/>
      <c r="ABE8" s="705"/>
      <c r="ABF8" s="705"/>
      <c r="ABG8" s="705"/>
      <c r="ABH8" s="705"/>
      <c r="ABI8" s="705"/>
      <c r="ABJ8" s="705"/>
      <c r="ABK8" s="705"/>
      <c r="ABL8" s="705"/>
      <c r="ABM8" s="705"/>
      <c r="ABN8" s="705"/>
      <c r="ABO8" s="705"/>
      <c r="ABP8" s="705"/>
      <c r="ABQ8" s="705"/>
      <c r="ABR8" s="705"/>
      <c r="ABS8" s="705"/>
      <c r="ABT8" s="705"/>
      <c r="ABU8" s="705"/>
      <c r="ABV8" s="705"/>
      <c r="ABW8" s="705"/>
      <c r="ABX8" s="705"/>
      <c r="ABY8" s="705"/>
      <c r="ABZ8" s="705"/>
      <c r="ACA8" s="705"/>
      <c r="ACB8" s="705"/>
      <c r="ACC8" s="705"/>
      <c r="ACD8" s="705"/>
      <c r="ACE8" s="705"/>
      <c r="ACF8" s="705"/>
      <c r="ACG8" s="705"/>
      <c r="ACH8" s="705"/>
      <c r="ACI8" s="705"/>
      <c r="ACJ8" s="705"/>
      <c r="ACK8" s="705"/>
      <c r="ACL8" s="705"/>
      <c r="ACM8" s="705"/>
      <c r="ACN8" s="705"/>
      <c r="ACO8" s="705"/>
      <c r="ACP8" s="705"/>
      <c r="ACQ8" s="705"/>
      <c r="ACR8" s="705"/>
      <c r="ACS8" s="705"/>
      <c r="ACT8" s="705"/>
      <c r="ACU8" s="705"/>
      <c r="ACV8" s="705"/>
      <c r="ACW8" s="705"/>
      <c r="ACX8" s="705"/>
      <c r="ACY8" s="705"/>
      <c r="ACZ8" s="705"/>
      <c r="ADA8" s="705"/>
      <c r="ADB8" s="705"/>
      <c r="ADC8" s="705"/>
      <c r="ADD8" s="705"/>
      <c r="ADE8" s="705"/>
      <c r="ADF8" s="705"/>
      <c r="ADG8" s="705"/>
      <c r="ADH8" s="705"/>
      <c r="ADI8" s="705"/>
      <c r="ADJ8" s="705"/>
      <c r="ADK8" s="705"/>
      <c r="ADL8" s="705"/>
      <c r="ADM8" s="705"/>
      <c r="ADN8" s="705"/>
      <c r="ADO8" s="705"/>
      <c r="ADP8" s="705"/>
      <c r="ADQ8" s="705"/>
      <c r="ADR8" s="705"/>
      <c r="ADS8" s="705"/>
      <c r="ADT8" s="705"/>
      <c r="ADU8" s="705"/>
      <c r="ADV8" s="705"/>
      <c r="ADW8" s="705"/>
      <c r="ADX8" s="705"/>
      <c r="ADY8" s="705"/>
      <c r="ADZ8" s="705"/>
      <c r="AEA8" s="705"/>
      <c r="AEB8" s="705"/>
      <c r="AEC8" s="705"/>
      <c r="AED8" s="705"/>
      <c r="AEE8" s="705"/>
      <c r="AEF8" s="705"/>
      <c r="AEG8" s="705"/>
      <c r="AEH8" s="705"/>
      <c r="AEI8" s="705"/>
      <c r="AEJ8" s="705"/>
      <c r="AEK8" s="705"/>
      <c r="AEL8" s="705"/>
      <c r="AEM8" s="705"/>
      <c r="AEN8" s="705"/>
      <c r="AEO8" s="705"/>
      <c r="AEP8" s="705"/>
      <c r="AEQ8" s="705"/>
      <c r="AER8" s="705"/>
      <c r="AES8" s="705"/>
      <c r="AET8" s="705"/>
      <c r="AEU8" s="705"/>
      <c r="AEV8" s="705"/>
      <c r="AEW8" s="705"/>
      <c r="AEX8" s="705"/>
      <c r="AEY8" s="705"/>
      <c r="AEZ8" s="705"/>
      <c r="AFA8" s="705"/>
      <c r="AFB8" s="705"/>
      <c r="AFC8" s="705"/>
      <c r="AFD8" s="705"/>
      <c r="AFE8" s="705"/>
      <c r="AFF8" s="705"/>
      <c r="AFG8" s="705"/>
      <c r="AFH8" s="705"/>
      <c r="AFI8" s="705"/>
      <c r="AFJ8" s="705"/>
      <c r="AFK8" s="705"/>
      <c r="AFL8" s="705"/>
      <c r="AFM8" s="705"/>
      <c r="AFN8" s="705"/>
      <c r="AFO8" s="705"/>
      <c r="AFP8" s="705"/>
      <c r="AFQ8" s="705"/>
      <c r="AFR8" s="705"/>
      <c r="AFS8" s="705"/>
      <c r="AFT8" s="705"/>
      <c r="AFU8" s="705"/>
      <c r="AFV8" s="705"/>
      <c r="AFW8" s="705"/>
      <c r="AFX8" s="705"/>
      <c r="AFY8" s="705"/>
      <c r="AFZ8" s="705"/>
      <c r="AGA8" s="705"/>
      <c r="AGB8" s="705"/>
      <c r="AGC8" s="705"/>
      <c r="AGD8" s="705"/>
      <c r="AGE8" s="705"/>
      <c r="AGF8" s="705"/>
      <c r="AGG8" s="705"/>
      <c r="AGH8" s="705"/>
      <c r="AGI8" s="705"/>
      <c r="AGJ8" s="705"/>
      <c r="AGK8" s="705"/>
      <c r="AGL8" s="705"/>
      <c r="AGM8" s="705"/>
      <c r="AGN8" s="705"/>
      <c r="AGO8" s="705"/>
      <c r="AGP8" s="705"/>
      <c r="AGQ8" s="705"/>
      <c r="AGR8" s="705"/>
      <c r="AGS8" s="705"/>
      <c r="AGT8" s="705"/>
      <c r="AGU8" s="705"/>
      <c r="AGV8" s="705"/>
      <c r="AGW8" s="705"/>
      <c r="AGX8" s="705"/>
      <c r="AGY8" s="705"/>
      <c r="AGZ8" s="705"/>
      <c r="AHA8" s="705"/>
      <c r="AHB8" s="705"/>
      <c r="AHC8" s="705"/>
      <c r="AHD8" s="705"/>
      <c r="AHE8" s="705"/>
      <c r="AHF8" s="705"/>
      <c r="AHG8" s="705"/>
      <c r="AHH8" s="705"/>
      <c r="AHI8" s="705"/>
      <c r="AHJ8" s="705"/>
      <c r="AHK8" s="705"/>
      <c r="AHL8" s="705"/>
      <c r="AHM8" s="705"/>
      <c r="AHN8" s="705"/>
      <c r="AHO8" s="705"/>
      <c r="AHP8" s="705"/>
      <c r="AHQ8" s="705"/>
      <c r="AHR8" s="705"/>
      <c r="AHS8" s="705"/>
      <c r="AHT8" s="705"/>
      <c r="AHU8" s="705"/>
      <c r="AHV8" s="705"/>
      <c r="AHW8" s="705"/>
      <c r="AHX8" s="705"/>
      <c r="AHY8" s="705"/>
      <c r="AHZ8" s="705"/>
      <c r="AIA8" s="705"/>
      <c r="AIB8" s="705"/>
      <c r="AIC8" s="705"/>
      <c r="AID8" s="705"/>
      <c r="AIE8" s="705"/>
      <c r="AIF8" s="705"/>
      <c r="AIG8" s="705"/>
      <c r="AIH8" s="705"/>
      <c r="AII8" s="705"/>
      <c r="AIJ8" s="705"/>
      <c r="AIK8" s="705"/>
      <c r="AIL8" s="705"/>
      <c r="AIM8" s="705"/>
      <c r="AIN8" s="705"/>
      <c r="AIO8" s="705"/>
      <c r="AIP8" s="705"/>
      <c r="AIQ8" s="705"/>
      <c r="AIR8" s="705"/>
      <c r="AIS8" s="705"/>
      <c r="AIT8" s="705"/>
      <c r="AIU8" s="705"/>
      <c r="AIV8" s="705"/>
      <c r="AIW8" s="705"/>
      <c r="AIX8" s="705"/>
      <c r="AIY8" s="705"/>
      <c r="AIZ8" s="705"/>
      <c r="AJA8" s="705"/>
      <c r="AJB8" s="705"/>
      <c r="AJC8" s="705"/>
      <c r="AJD8" s="705"/>
      <c r="AJE8" s="705"/>
      <c r="AJF8" s="705"/>
      <c r="AJG8" s="705"/>
      <c r="AJH8" s="705"/>
      <c r="AJI8" s="705"/>
      <c r="AJJ8" s="705"/>
      <c r="AJK8" s="705"/>
      <c r="AJL8" s="705"/>
      <c r="AJM8" s="705"/>
      <c r="AJN8" s="705"/>
      <c r="AJO8" s="705"/>
      <c r="AJP8" s="705"/>
      <c r="AJQ8" s="705"/>
      <c r="AJR8" s="705"/>
      <c r="AJS8" s="705"/>
      <c r="AJT8" s="705"/>
      <c r="AJU8" s="705"/>
      <c r="AJV8" s="705"/>
      <c r="AJW8" s="705"/>
      <c r="AJX8" s="705"/>
      <c r="AJY8" s="705"/>
      <c r="AJZ8" s="705"/>
      <c r="AKA8" s="705"/>
      <c r="AKB8" s="705"/>
      <c r="AKC8" s="705"/>
      <c r="AKD8" s="705"/>
      <c r="AKE8" s="705"/>
      <c r="AKF8" s="705"/>
      <c r="AKG8" s="705"/>
      <c r="AKH8" s="705"/>
      <c r="AKI8" s="705"/>
      <c r="AKJ8" s="705"/>
      <c r="AKK8" s="705"/>
      <c r="AKL8" s="705"/>
      <c r="AKM8" s="705"/>
      <c r="AKN8" s="705"/>
      <c r="AKO8" s="705"/>
      <c r="AKP8" s="705"/>
      <c r="AKQ8" s="705"/>
      <c r="AKR8" s="705"/>
      <c r="AKS8" s="705"/>
      <c r="AKT8" s="705"/>
      <c r="AKU8" s="705"/>
      <c r="AKV8" s="705"/>
      <c r="AKW8" s="705"/>
      <c r="AKX8" s="705"/>
      <c r="AKY8" s="705"/>
      <c r="AKZ8" s="705"/>
      <c r="ALA8" s="705"/>
      <c r="ALB8" s="705"/>
      <c r="ALC8" s="705"/>
      <c r="ALD8" s="705"/>
      <c r="ALE8" s="705"/>
      <c r="ALF8" s="705"/>
      <c r="ALG8" s="705"/>
      <c r="ALH8" s="705"/>
      <c r="ALI8" s="705"/>
      <c r="ALJ8" s="705"/>
      <c r="ALK8" s="705"/>
      <c r="ALL8" s="705"/>
      <c r="ALM8" s="705"/>
      <c r="ALN8" s="705"/>
      <c r="ALO8" s="705"/>
      <c r="ALP8" s="705"/>
      <c r="ALQ8" s="705"/>
      <c r="ALR8" s="705"/>
      <c r="ALS8" s="705"/>
      <c r="ALT8" s="705"/>
      <c r="ALU8" s="705"/>
      <c r="ALV8" s="705"/>
      <c r="ALW8" s="705"/>
      <c r="ALX8" s="705"/>
      <c r="ALY8" s="705"/>
      <c r="ALZ8" s="705"/>
      <c r="AMA8" s="705"/>
      <c r="AMB8" s="705"/>
      <c r="AMC8" s="705"/>
      <c r="AMD8" s="705"/>
      <c r="AME8" s="705"/>
      <c r="AMF8" s="705"/>
      <c r="AMG8" s="705"/>
      <c r="AMH8" s="705"/>
      <c r="AMI8" s="705"/>
      <c r="AMJ8" s="705"/>
    </row>
    <row r="9" spans="1:1024" s="4" customFormat="1" ht="15" customHeight="1">
      <c r="A9" s="412" t="s">
        <v>257</v>
      </c>
      <c r="B9" s="413">
        <f>B8</f>
        <v>0</v>
      </c>
      <c r="C9" s="413">
        <f>C8</f>
        <v>0</v>
      </c>
      <c r="D9" s="3"/>
    </row>
    <row r="10" spans="1:1024" s="4" customFormat="1" ht="15" customHeight="1">
      <c r="A10" s="412" t="s">
        <v>41</v>
      </c>
      <c r="B10" s="3">
        <v>0</v>
      </c>
      <c r="C10" s="3">
        <v>0</v>
      </c>
      <c r="D10" s="3"/>
      <c r="E10" s="705"/>
      <c r="F10" s="705"/>
      <c r="G10" s="705"/>
      <c r="H10" s="705"/>
      <c r="I10" s="705"/>
      <c r="J10" s="705"/>
      <c r="K10" s="705"/>
      <c r="L10" s="705"/>
      <c r="M10" s="705"/>
      <c r="N10" s="705"/>
      <c r="O10" s="705"/>
      <c r="P10" s="705"/>
      <c r="Q10" s="705"/>
      <c r="R10" s="705"/>
      <c r="S10" s="705"/>
      <c r="T10" s="705"/>
      <c r="U10" s="705"/>
      <c r="V10" s="705"/>
      <c r="W10" s="705"/>
      <c r="X10" s="705"/>
      <c r="Y10" s="705"/>
      <c r="Z10" s="705"/>
      <c r="AA10" s="705"/>
      <c r="AB10" s="705"/>
      <c r="AC10" s="705"/>
      <c r="AD10" s="705"/>
      <c r="AE10" s="705"/>
      <c r="AF10" s="705"/>
      <c r="AG10" s="705"/>
      <c r="AH10" s="705"/>
      <c r="AI10" s="705"/>
      <c r="AJ10" s="705"/>
      <c r="AK10" s="705"/>
      <c r="AL10" s="705"/>
      <c r="AM10" s="705"/>
      <c r="AN10" s="705"/>
      <c r="AO10" s="705"/>
      <c r="AP10" s="705"/>
      <c r="AQ10" s="705"/>
      <c r="AR10" s="705"/>
      <c r="AS10" s="705"/>
      <c r="AT10" s="705"/>
      <c r="AU10" s="705"/>
      <c r="AV10" s="705"/>
      <c r="AW10" s="705"/>
      <c r="AX10" s="705"/>
      <c r="AY10" s="705"/>
      <c r="AZ10" s="705"/>
      <c r="BA10" s="705"/>
      <c r="BB10" s="705"/>
      <c r="BC10" s="705"/>
      <c r="BD10" s="705"/>
      <c r="BE10" s="705"/>
      <c r="BF10" s="705"/>
      <c r="BG10" s="705"/>
      <c r="BH10" s="705"/>
      <c r="BI10" s="705"/>
      <c r="BJ10" s="705"/>
      <c r="BK10" s="705"/>
      <c r="BL10" s="705"/>
      <c r="BM10" s="705"/>
      <c r="BN10" s="705"/>
      <c r="BO10" s="705"/>
      <c r="BP10" s="705"/>
      <c r="BQ10" s="705"/>
      <c r="BR10" s="705"/>
      <c r="BS10" s="705"/>
      <c r="BT10" s="705"/>
      <c r="BU10" s="705"/>
      <c r="BV10" s="705"/>
      <c r="BW10" s="705"/>
      <c r="BX10" s="705"/>
      <c r="BY10" s="705"/>
      <c r="BZ10" s="705"/>
      <c r="CA10" s="705"/>
      <c r="CB10" s="705"/>
      <c r="CC10" s="705"/>
      <c r="CD10" s="705"/>
      <c r="CE10" s="705"/>
      <c r="CF10" s="705"/>
      <c r="CG10" s="705"/>
      <c r="CH10" s="705"/>
      <c r="CI10" s="705"/>
      <c r="CJ10" s="705"/>
      <c r="CK10" s="705"/>
      <c r="CL10" s="705"/>
      <c r="CM10" s="705"/>
      <c r="CN10" s="705"/>
      <c r="CO10" s="705"/>
      <c r="CP10" s="705"/>
      <c r="CQ10" s="705"/>
      <c r="CR10" s="705"/>
      <c r="CS10" s="705"/>
      <c r="CT10" s="705"/>
      <c r="CU10" s="705"/>
      <c r="CV10" s="705"/>
      <c r="CW10" s="705"/>
      <c r="CX10" s="705"/>
      <c r="CY10" s="705"/>
      <c r="CZ10" s="705"/>
      <c r="DA10" s="705"/>
      <c r="DB10" s="705"/>
      <c r="DC10" s="705"/>
      <c r="DD10" s="705"/>
      <c r="DE10" s="705"/>
      <c r="DF10" s="705"/>
      <c r="DG10" s="705"/>
      <c r="DH10" s="705"/>
      <c r="DI10" s="705"/>
      <c r="DJ10" s="705"/>
      <c r="DK10" s="705"/>
      <c r="DL10" s="705"/>
      <c r="DM10" s="705"/>
      <c r="DN10" s="705"/>
      <c r="DO10" s="705"/>
      <c r="DP10" s="705"/>
      <c r="DQ10" s="705"/>
      <c r="DR10" s="705"/>
      <c r="DS10" s="705"/>
      <c r="DT10" s="705"/>
      <c r="DU10" s="705"/>
      <c r="DV10" s="705"/>
      <c r="DW10" s="705"/>
      <c r="DX10" s="705"/>
      <c r="DY10" s="705"/>
      <c r="DZ10" s="705"/>
      <c r="EA10" s="705"/>
      <c r="EB10" s="705"/>
      <c r="EC10" s="705"/>
      <c r="ED10" s="705"/>
      <c r="EE10" s="705"/>
      <c r="EF10" s="705"/>
      <c r="EG10" s="705"/>
      <c r="EH10" s="705"/>
      <c r="EI10" s="705"/>
      <c r="EJ10" s="705"/>
      <c r="EK10" s="705"/>
      <c r="EL10" s="705"/>
      <c r="EM10" s="705"/>
      <c r="EN10" s="705"/>
      <c r="EO10" s="705"/>
      <c r="EP10" s="705"/>
      <c r="EQ10" s="705"/>
      <c r="ER10" s="705"/>
      <c r="ES10" s="705"/>
      <c r="ET10" s="705"/>
      <c r="EU10" s="705"/>
      <c r="EV10" s="705"/>
      <c r="EW10" s="705"/>
      <c r="EX10" s="705"/>
      <c r="EY10" s="705"/>
      <c r="EZ10" s="705"/>
      <c r="FA10" s="705"/>
      <c r="FB10" s="705"/>
      <c r="FC10" s="705"/>
      <c r="FD10" s="705"/>
      <c r="FE10" s="705"/>
      <c r="FF10" s="705"/>
      <c r="FG10" s="705"/>
      <c r="FH10" s="705"/>
      <c r="FI10" s="705"/>
      <c r="FJ10" s="705"/>
      <c r="FK10" s="705"/>
      <c r="FL10" s="705"/>
      <c r="FM10" s="705"/>
      <c r="FN10" s="705"/>
      <c r="FO10" s="705"/>
      <c r="FP10" s="705"/>
      <c r="FQ10" s="705"/>
      <c r="FR10" s="705"/>
      <c r="FS10" s="705"/>
      <c r="FT10" s="705"/>
      <c r="FU10" s="705"/>
      <c r="FV10" s="705"/>
      <c r="FW10" s="705"/>
      <c r="FX10" s="705"/>
      <c r="FY10" s="705"/>
      <c r="FZ10" s="705"/>
      <c r="GA10" s="705"/>
      <c r="GB10" s="705"/>
      <c r="GC10" s="705"/>
      <c r="GD10" s="705"/>
      <c r="GE10" s="705"/>
      <c r="GF10" s="705"/>
      <c r="GG10" s="705"/>
      <c r="GH10" s="705"/>
      <c r="GI10" s="705"/>
      <c r="GJ10" s="705"/>
      <c r="GK10" s="705"/>
      <c r="GL10" s="705"/>
      <c r="GM10" s="705"/>
      <c r="GN10" s="705"/>
      <c r="GO10" s="705"/>
      <c r="GP10" s="705"/>
      <c r="GQ10" s="705"/>
      <c r="GR10" s="705"/>
      <c r="GS10" s="705"/>
      <c r="GT10" s="705"/>
      <c r="GU10" s="705"/>
      <c r="GV10" s="705"/>
      <c r="GW10" s="705"/>
      <c r="GX10" s="705"/>
      <c r="GY10" s="705"/>
      <c r="GZ10" s="705"/>
      <c r="HA10" s="705"/>
      <c r="HB10" s="705"/>
      <c r="HC10" s="705"/>
      <c r="HD10" s="705"/>
      <c r="HE10" s="705"/>
      <c r="HF10" s="705"/>
      <c r="HG10" s="705"/>
      <c r="HH10" s="705"/>
      <c r="HI10" s="705"/>
      <c r="HJ10" s="705"/>
      <c r="HK10" s="705"/>
      <c r="HL10" s="705"/>
      <c r="HM10" s="705"/>
      <c r="HN10" s="705"/>
      <c r="HO10" s="705"/>
      <c r="HP10" s="705"/>
      <c r="HQ10" s="705"/>
      <c r="HR10" s="705"/>
      <c r="HS10" s="705"/>
      <c r="HT10" s="705"/>
      <c r="HU10" s="705"/>
      <c r="HV10" s="705"/>
      <c r="HW10" s="705"/>
      <c r="HX10" s="705"/>
      <c r="HY10" s="705"/>
      <c r="HZ10" s="705"/>
      <c r="IA10" s="705"/>
      <c r="IB10" s="705"/>
      <c r="IC10" s="705"/>
      <c r="ID10" s="705"/>
      <c r="IE10" s="705"/>
      <c r="IF10" s="705"/>
      <c r="IG10" s="705"/>
      <c r="IH10" s="705"/>
      <c r="II10" s="705"/>
      <c r="IJ10" s="705"/>
      <c r="IK10" s="705"/>
      <c r="IL10" s="705"/>
      <c r="IM10" s="705"/>
      <c r="IN10" s="705"/>
      <c r="IO10" s="705"/>
      <c r="IP10" s="705"/>
      <c r="IQ10" s="705"/>
      <c r="IR10" s="705"/>
      <c r="IS10" s="705"/>
      <c r="IT10" s="705"/>
      <c r="IU10" s="705"/>
      <c r="IV10" s="705"/>
      <c r="IW10" s="705"/>
      <c r="IX10" s="705"/>
      <c r="IY10" s="705"/>
      <c r="IZ10" s="705"/>
      <c r="JA10" s="705"/>
      <c r="JB10" s="705"/>
      <c r="JC10" s="705"/>
      <c r="JD10" s="705"/>
      <c r="JE10" s="705"/>
      <c r="JF10" s="705"/>
      <c r="JG10" s="705"/>
      <c r="JH10" s="705"/>
      <c r="JI10" s="705"/>
      <c r="JJ10" s="705"/>
      <c r="JK10" s="705"/>
      <c r="JL10" s="705"/>
      <c r="JM10" s="705"/>
      <c r="JN10" s="705"/>
      <c r="JO10" s="705"/>
      <c r="JP10" s="705"/>
      <c r="JQ10" s="705"/>
      <c r="JR10" s="705"/>
      <c r="JS10" s="705"/>
      <c r="JT10" s="705"/>
      <c r="JU10" s="705"/>
      <c r="JV10" s="705"/>
      <c r="JW10" s="705"/>
      <c r="JX10" s="705"/>
      <c r="JY10" s="705"/>
      <c r="JZ10" s="705"/>
      <c r="KA10" s="705"/>
      <c r="KB10" s="705"/>
      <c r="KC10" s="705"/>
      <c r="KD10" s="705"/>
      <c r="KE10" s="705"/>
      <c r="KF10" s="705"/>
      <c r="KG10" s="705"/>
      <c r="KH10" s="705"/>
      <c r="KI10" s="705"/>
      <c r="KJ10" s="705"/>
      <c r="KK10" s="705"/>
      <c r="KL10" s="705"/>
      <c r="KM10" s="705"/>
      <c r="KN10" s="705"/>
      <c r="KO10" s="705"/>
      <c r="KP10" s="705"/>
      <c r="KQ10" s="705"/>
      <c r="KR10" s="705"/>
      <c r="KS10" s="705"/>
      <c r="KT10" s="705"/>
      <c r="KU10" s="705"/>
      <c r="KV10" s="705"/>
      <c r="KW10" s="705"/>
      <c r="KX10" s="705"/>
      <c r="KY10" s="705"/>
      <c r="KZ10" s="705"/>
      <c r="LA10" s="705"/>
      <c r="LB10" s="705"/>
      <c r="LC10" s="705"/>
      <c r="LD10" s="705"/>
      <c r="LE10" s="705"/>
      <c r="LF10" s="705"/>
      <c r="LG10" s="705"/>
      <c r="LH10" s="705"/>
      <c r="LI10" s="705"/>
      <c r="LJ10" s="705"/>
      <c r="LK10" s="705"/>
      <c r="LL10" s="705"/>
      <c r="LM10" s="705"/>
      <c r="LN10" s="705"/>
      <c r="LO10" s="705"/>
      <c r="LP10" s="705"/>
      <c r="LQ10" s="705"/>
      <c r="LR10" s="705"/>
      <c r="LS10" s="705"/>
      <c r="LT10" s="705"/>
      <c r="LU10" s="705"/>
      <c r="LV10" s="705"/>
      <c r="LW10" s="705"/>
      <c r="LX10" s="705"/>
      <c r="LY10" s="705"/>
      <c r="LZ10" s="705"/>
      <c r="MA10" s="705"/>
      <c r="MB10" s="705"/>
      <c r="MC10" s="705"/>
      <c r="MD10" s="705"/>
      <c r="ME10" s="705"/>
      <c r="MF10" s="705"/>
      <c r="MG10" s="705"/>
      <c r="MH10" s="705"/>
      <c r="MI10" s="705"/>
      <c r="MJ10" s="705"/>
      <c r="MK10" s="705"/>
      <c r="ML10" s="705"/>
      <c r="MM10" s="705"/>
      <c r="MN10" s="705"/>
      <c r="MO10" s="705"/>
      <c r="MP10" s="705"/>
      <c r="MQ10" s="705"/>
      <c r="MR10" s="705"/>
      <c r="MS10" s="705"/>
      <c r="MT10" s="705"/>
      <c r="MU10" s="705"/>
      <c r="MV10" s="705"/>
      <c r="MW10" s="705"/>
      <c r="MX10" s="705"/>
      <c r="MY10" s="705"/>
      <c r="MZ10" s="705"/>
      <c r="NA10" s="705"/>
      <c r="NB10" s="705"/>
      <c r="NC10" s="705"/>
      <c r="ND10" s="705"/>
      <c r="NE10" s="705"/>
      <c r="NF10" s="705"/>
      <c r="NG10" s="705"/>
      <c r="NH10" s="705"/>
      <c r="NI10" s="705"/>
      <c r="NJ10" s="705"/>
      <c r="NK10" s="705"/>
      <c r="NL10" s="705"/>
      <c r="NM10" s="705"/>
      <c r="NN10" s="705"/>
      <c r="NO10" s="705"/>
      <c r="NP10" s="705"/>
      <c r="NQ10" s="705"/>
      <c r="NR10" s="705"/>
      <c r="NS10" s="705"/>
      <c r="NT10" s="705"/>
      <c r="NU10" s="705"/>
      <c r="NV10" s="705"/>
      <c r="NW10" s="705"/>
      <c r="NX10" s="705"/>
      <c r="NY10" s="705"/>
      <c r="NZ10" s="705"/>
      <c r="OA10" s="705"/>
      <c r="OB10" s="705"/>
      <c r="OC10" s="705"/>
      <c r="OD10" s="705"/>
      <c r="OE10" s="705"/>
      <c r="OF10" s="705"/>
      <c r="OG10" s="705"/>
      <c r="OH10" s="705"/>
      <c r="OI10" s="705"/>
      <c r="OJ10" s="705"/>
      <c r="OK10" s="705"/>
      <c r="OL10" s="705"/>
      <c r="OM10" s="705"/>
      <c r="ON10" s="705"/>
      <c r="OO10" s="705"/>
      <c r="OP10" s="705"/>
      <c r="OQ10" s="705"/>
      <c r="OR10" s="705"/>
      <c r="OS10" s="705"/>
      <c r="OT10" s="705"/>
      <c r="OU10" s="705"/>
      <c r="OV10" s="705"/>
      <c r="OW10" s="705"/>
      <c r="OX10" s="705"/>
      <c r="OY10" s="705"/>
      <c r="OZ10" s="705"/>
      <c r="PA10" s="705"/>
      <c r="PB10" s="705"/>
      <c r="PC10" s="705"/>
      <c r="PD10" s="705"/>
      <c r="PE10" s="705"/>
      <c r="PF10" s="705"/>
      <c r="PG10" s="705"/>
      <c r="PH10" s="705"/>
      <c r="PI10" s="705"/>
      <c r="PJ10" s="705"/>
      <c r="PK10" s="705"/>
      <c r="PL10" s="705"/>
      <c r="PM10" s="705"/>
      <c r="PN10" s="705"/>
      <c r="PO10" s="705"/>
      <c r="PP10" s="705"/>
      <c r="PQ10" s="705"/>
      <c r="PR10" s="705"/>
      <c r="PS10" s="705"/>
      <c r="PT10" s="705"/>
      <c r="PU10" s="705"/>
      <c r="PV10" s="705"/>
      <c r="PW10" s="705"/>
      <c r="PX10" s="705"/>
      <c r="PY10" s="705"/>
      <c r="PZ10" s="705"/>
      <c r="QA10" s="705"/>
      <c r="QB10" s="705"/>
      <c r="QC10" s="705"/>
      <c r="QD10" s="705"/>
      <c r="QE10" s="705"/>
      <c r="QF10" s="705"/>
      <c r="QG10" s="705"/>
      <c r="QH10" s="705"/>
      <c r="QI10" s="705"/>
      <c r="QJ10" s="705"/>
      <c r="QK10" s="705"/>
      <c r="QL10" s="705"/>
      <c r="QM10" s="705"/>
      <c r="QN10" s="705"/>
      <c r="QO10" s="705"/>
      <c r="QP10" s="705"/>
      <c r="QQ10" s="705"/>
      <c r="QR10" s="705"/>
      <c r="QS10" s="705"/>
      <c r="QT10" s="705"/>
      <c r="QU10" s="705"/>
      <c r="QV10" s="705"/>
      <c r="QW10" s="705"/>
      <c r="QX10" s="705"/>
      <c r="QY10" s="705"/>
      <c r="QZ10" s="705"/>
      <c r="RA10" s="705"/>
      <c r="RB10" s="705"/>
      <c r="RC10" s="705"/>
      <c r="RD10" s="705"/>
      <c r="RE10" s="705"/>
      <c r="RF10" s="705"/>
      <c r="RG10" s="705"/>
      <c r="RH10" s="705"/>
      <c r="RI10" s="705"/>
      <c r="RJ10" s="705"/>
      <c r="RK10" s="705"/>
      <c r="RL10" s="705"/>
      <c r="RM10" s="705"/>
      <c r="RN10" s="705"/>
      <c r="RO10" s="705"/>
      <c r="RP10" s="705"/>
      <c r="RQ10" s="705"/>
      <c r="RR10" s="705"/>
      <c r="RS10" s="705"/>
      <c r="RT10" s="705"/>
      <c r="RU10" s="705"/>
      <c r="RV10" s="705"/>
      <c r="RW10" s="705"/>
      <c r="RX10" s="705"/>
      <c r="RY10" s="705"/>
      <c r="RZ10" s="705"/>
      <c r="SA10" s="705"/>
      <c r="SB10" s="705"/>
      <c r="SC10" s="705"/>
      <c r="SD10" s="705"/>
      <c r="SE10" s="705"/>
      <c r="SF10" s="705"/>
      <c r="SG10" s="705"/>
      <c r="SH10" s="705"/>
      <c r="SI10" s="705"/>
      <c r="SJ10" s="705"/>
      <c r="SK10" s="705"/>
      <c r="SL10" s="705"/>
      <c r="SM10" s="705"/>
      <c r="SN10" s="705"/>
      <c r="SO10" s="705"/>
      <c r="SP10" s="705"/>
      <c r="SQ10" s="705"/>
      <c r="SR10" s="705"/>
      <c r="SS10" s="705"/>
      <c r="ST10" s="705"/>
      <c r="SU10" s="705"/>
      <c r="SV10" s="705"/>
      <c r="SW10" s="705"/>
      <c r="SX10" s="705"/>
      <c r="SY10" s="705"/>
      <c r="SZ10" s="705"/>
      <c r="TA10" s="705"/>
      <c r="TB10" s="705"/>
      <c r="TC10" s="705"/>
      <c r="TD10" s="705"/>
      <c r="TE10" s="705"/>
      <c r="TF10" s="705"/>
      <c r="TG10" s="705"/>
      <c r="TH10" s="705"/>
      <c r="TI10" s="705"/>
      <c r="TJ10" s="705"/>
      <c r="TK10" s="705"/>
      <c r="TL10" s="705"/>
      <c r="TM10" s="705"/>
      <c r="TN10" s="705"/>
      <c r="TO10" s="705"/>
      <c r="TP10" s="705"/>
      <c r="TQ10" s="705"/>
      <c r="TR10" s="705"/>
      <c r="TS10" s="705"/>
      <c r="TT10" s="705"/>
      <c r="TU10" s="705"/>
      <c r="TV10" s="705"/>
      <c r="TW10" s="705"/>
      <c r="TX10" s="705"/>
      <c r="TY10" s="705"/>
      <c r="TZ10" s="705"/>
      <c r="UA10" s="705"/>
      <c r="UB10" s="705"/>
      <c r="UC10" s="705"/>
      <c r="UD10" s="705"/>
      <c r="UE10" s="705"/>
      <c r="UF10" s="705"/>
      <c r="UG10" s="705"/>
      <c r="UH10" s="705"/>
      <c r="UI10" s="705"/>
      <c r="UJ10" s="705"/>
      <c r="UK10" s="705"/>
      <c r="UL10" s="705"/>
      <c r="UM10" s="705"/>
      <c r="UN10" s="705"/>
      <c r="UO10" s="705"/>
      <c r="UP10" s="705"/>
      <c r="UQ10" s="705"/>
      <c r="UR10" s="705"/>
      <c r="US10" s="705"/>
      <c r="UT10" s="705"/>
      <c r="UU10" s="705"/>
      <c r="UV10" s="705"/>
      <c r="UW10" s="705"/>
      <c r="UX10" s="705"/>
      <c r="UY10" s="705"/>
      <c r="UZ10" s="705"/>
      <c r="VA10" s="705"/>
      <c r="VB10" s="705"/>
      <c r="VC10" s="705"/>
      <c r="VD10" s="705"/>
      <c r="VE10" s="705"/>
      <c r="VF10" s="705"/>
      <c r="VG10" s="705"/>
      <c r="VH10" s="705"/>
      <c r="VI10" s="705"/>
      <c r="VJ10" s="705"/>
      <c r="VK10" s="705"/>
      <c r="VL10" s="705"/>
      <c r="VM10" s="705"/>
      <c r="VN10" s="705"/>
      <c r="VO10" s="705"/>
      <c r="VP10" s="705"/>
      <c r="VQ10" s="705"/>
      <c r="VR10" s="705"/>
      <c r="VS10" s="705"/>
      <c r="VT10" s="705"/>
      <c r="VU10" s="705"/>
      <c r="VV10" s="705"/>
      <c r="VW10" s="705"/>
      <c r="VX10" s="705"/>
      <c r="VY10" s="705"/>
      <c r="VZ10" s="705"/>
      <c r="WA10" s="705"/>
      <c r="WB10" s="705"/>
      <c r="WC10" s="705"/>
      <c r="WD10" s="705"/>
      <c r="WE10" s="705"/>
      <c r="WF10" s="705"/>
      <c r="WG10" s="705"/>
      <c r="WH10" s="705"/>
      <c r="WI10" s="705"/>
      <c r="WJ10" s="705"/>
      <c r="WK10" s="705"/>
      <c r="WL10" s="705"/>
      <c r="WM10" s="705"/>
      <c r="WN10" s="705"/>
      <c r="WO10" s="705"/>
      <c r="WP10" s="705"/>
      <c r="WQ10" s="705"/>
      <c r="WR10" s="705"/>
      <c r="WS10" s="705"/>
      <c r="WT10" s="705"/>
      <c r="WU10" s="705"/>
      <c r="WV10" s="705"/>
      <c r="WW10" s="705"/>
      <c r="WX10" s="705"/>
      <c r="WY10" s="705"/>
      <c r="WZ10" s="705"/>
      <c r="XA10" s="705"/>
      <c r="XB10" s="705"/>
      <c r="XC10" s="705"/>
      <c r="XD10" s="705"/>
      <c r="XE10" s="705"/>
      <c r="XF10" s="705"/>
      <c r="XG10" s="705"/>
      <c r="XH10" s="705"/>
      <c r="XI10" s="705"/>
      <c r="XJ10" s="705"/>
      <c r="XK10" s="705"/>
      <c r="XL10" s="705"/>
      <c r="XM10" s="705"/>
      <c r="XN10" s="705"/>
      <c r="XO10" s="705"/>
      <c r="XP10" s="705"/>
      <c r="XQ10" s="705"/>
      <c r="XR10" s="705"/>
      <c r="XS10" s="705"/>
      <c r="XT10" s="705"/>
      <c r="XU10" s="705"/>
      <c r="XV10" s="705"/>
      <c r="XW10" s="705"/>
      <c r="XX10" s="705"/>
      <c r="XY10" s="705"/>
      <c r="XZ10" s="705"/>
      <c r="YA10" s="705"/>
      <c r="YB10" s="705"/>
      <c r="YC10" s="705"/>
      <c r="YD10" s="705"/>
      <c r="YE10" s="705"/>
      <c r="YF10" s="705"/>
      <c r="YG10" s="705"/>
      <c r="YH10" s="705"/>
      <c r="YI10" s="705"/>
      <c r="YJ10" s="705"/>
      <c r="YK10" s="705"/>
      <c r="YL10" s="705"/>
      <c r="YM10" s="705"/>
      <c r="YN10" s="705"/>
      <c r="YO10" s="705"/>
      <c r="YP10" s="705"/>
      <c r="YQ10" s="705"/>
      <c r="YR10" s="705"/>
      <c r="YS10" s="705"/>
      <c r="YT10" s="705"/>
      <c r="YU10" s="705"/>
      <c r="YV10" s="705"/>
      <c r="YW10" s="705"/>
      <c r="YX10" s="705"/>
      <c r="YY10" s="705"/>
      <c r="YZ10" s="705"/>
      <c r="ZA10" s="705"/>
      <c r="ZB10" s="705"/>
      <c r="ZC10" s="705"/>
      <c r="ZD10" s="705"/>
      <c r="ZE10" s="705"/>
      <c r="ZF10" s="705"/>
      <c r="ZG10" s="705"/>
      <c r="ZH10" s="705"/>
      <c r="ZI10" s="705"/>
      <c r="ZJ10" s="705"/>
      <c r="ZK10" s="705"/>
      <c r="ZL10" s="705"/>
      <c r="ZM10" s="705"/>
      <c r="ZN10" s="705"/>
      <c r="ZO10" s="705"/>
      <c r="ZP10" s="705"/>
      <c r="ZQ10" s="705"/>
      <c r="ZR10" s="705"/>
      <c r="ZS10" s="705"/>
      <c r="ZT10" s="705"/>
      <c r="ZU10" s="705"/>
      <c r="ZV10" s="705"/>
      <c r="ZW10" s="705"/>
      <c r="ZX10" s="705"/>
      <c r="ZY10" s="705"/>
      <c r="ZZ10" s="705"/>
      <c r="AAA10" s="705"/>
      <c r="AAB10" s="705"/>
      <c r="AAC10" s="705"/>
      <c r="AAD10" s="705"/>
      <c r="AAE10" s="705"/>
      <c r="AAF10" s="705"/>
      <c r="AAG10" s="705"/>
      <c r="AAH10" s="705"/>
      <c r="AAI10" s="705"/>
      <c r="AAJ10" s="705"/>
      <c r="AAK10" s="705"/>
      <c r="AAL10" s="705"/>
      <c r="AAM10" s="705"/>
      <c r="AAN10" s="705"/>
      <c r="AAO10" s="705"/>
      <c r="AAP10" s="705"/>
      <c r="AAQ10" s="705"/>
      <c r="AAR10" s="705"/>
      <c r="AAS10" s="705"/>
      <c r="AAT10" s="705"/>
      <c r="AAU10" s="705"/>
      <c r="AAV10" s="705"/>
      <c r="AAW10" s="705"/>
      <c r="AAX10" s="705"/>
      <c r="AAY10" s="705"/>
      <c r="AAZ10" s="705"/>
      <c r="ABA10" s="705"/>
      <c r="ABB10" s="705"/>
      <c r="ABC10" s="705"/>
      <c r="ABD10" s="705"/>
      <c r="ABE10" s="705"/>
      <c r="ABF10" s="705"/>
      <c r="ABG10" s="705"/>
      <c r="ABH10" s="705"/>
      <c r="ABI10" s="705"/>
      <c r="ABJ10" s="705"/>
      <c r="ABK10" s="705"/>
      <c r="ABL10" s="705"/>
      <c r="ABM10" s="705"/>
      <c r="ABN10" s="705"/>
      <c r="ABO10" s="705"/>
      <c r="ABP10" s="705"/>
      <c r="ABQ10" s="705"/>
      <c r="ABR10" s="705"/>
      <c r="ABS10" s="705"/>
      <c r="ABT10" s="705"/>
      <c r="ABU10" s="705"/>
      <c r="ABV10" s="705"/>
      <c r="ABW10" s="705"/>
      <c r="ABX10" s="705"/>
      <c r="ABY10" s="705"/>
      <c r="ABZ10" s="705"/>
      <c r="ACA10" s="705"/>
      <c r="ACB10" s="705"/>
      <c r="ACC10" s="705"/>
      <c r="ACD10" s="705"/>
      <c r="ACE10" s="705"/>
      <c r="ACF10" s="705"/>
      <c r="ACG10" s="705"/>
      <c r="ACH10" s="705"/>
      <c r="ACI10" s="705"/>
      <c r="ACJ10" s="705"/>
      <c r="ACK10" s="705"/>
      <c r="ACL10" s="705"/>
      <c r="ACM10" s="705"/>
      <c r="ACN10" s="705"/>
      <c r="ACO10" s="705"/>
      <c r="ACP10" s="705"/>
      <c r="ACQ10" s="705"/>
      <c r="ACR10" s="705"/>
      <c r="ACS10" s="705"/>
      <c r="ACT10" s="705"/>
      <c r="ACU10" s="705"/>
      <c r="ACV10" s="705"/>
      <c r="ACW10" s="705"/>
      <c r="ACX10" s="705"/>
      <c r="ACY10" s="705"/>
      <c r="ACZ10" s="705"/>
      <c r="ADA10" s="705"/>
      <c r="ADB10" s="705"/>
      <c r="ADC10" s="705"/>
      <c r="ADD10" s="705"/>
      <c r="ADE10" s="705"/>
      <c r="ADF10" s="705"/>
      <c r="ADG10" s="705"/>
      <c r="ADH10" s="705"/>
      <c r="ADI10" s="705"/>
      <c r="ADJ10" s="705"/>
      <c r="ADK10" s="705"/>
      <c r="ADL10" s="705"/>
      <c r="ADM10" s="705"/>
      <c r="ADN10" s="705"/>
      <c r="ADO10" s="705"/>
      <c r="ADP10" s="705"/>
      <c r="ADQ10" s="705"/>
      <c r="ADR10" s="705"/>
      <c r="ADS10" s="705"/>
      <c r="ADT10" s="705"/>
      <c r="ADU10" s="705"/>
      <c r="ADV10" s="705"/>
      <c r="ADW10" s="705"/>
      <c r="ADX10" s="705"/>
      <c r="ADY10" s="705"/>
      <c r="ADZ10" s="705"/>
      <c r="AEA10" s="705"/>
      <c r="AEB10" s="705"/>
      <c r="AEC10" s="705"/>
      <c r="AED10" s="705"/>
      <c r="AEE10" s="705"/>
      <c r="AEF10" s="705"/>
      <c r="AEG10" s="705"/>
      <c r="AEH10" s="705"/>
      <c r="AEI10" s="705"/>
      <c r="AEJ10" s="705"/>
      <c r="AEK10" s="705"/>
      <c r="AEL10" s="705"/>
      <c r="AEM10" s="705"/>
      <c r="AEN10" s="705"/>
      <c r="AEO10" s="705"/>
      <c r="AEP10" s="705"/>
      <c r="AEQ10" s="705"/>
      <c r="AER10" s="705"/>
      <c r="AES10" s="705"/>
      <c r="AET10" s="705"/>
      <c r="AEU10" s="705"/>
      <c r="AEV10" s="705"/>
      <c r="AEW10" s="705"/>
      <c r="AEX10" s="705"/>
      <c r="AEY10" s="705"/>
      <c r="AEZ10" s="705"/>
      <c r="AFA10" s="705"/>
      <c r="AFB10" s="705"/>
      <c r="AFC10" s="705"/>
      <c r="AFD10" s="705"/>
      <c r="AFE10" s="705"/>
      <c r="AFF10" s="705"/>
      <c r="AFG10" s="705"/>
      <c r="AFH10" s="705"/>
      <c r="AFI10" s="705"/>
      <c r="AFJ10" s="705"/>
      <c r="AFK10" s="705"/>
      <c r="AFL10" s="705"/>
      <c r="AFM10" s="705"/>
      <c r="AFN10" s="705"/>
      <c r="AFO10" s="705"/>
      <c r="AFP10" s="705"/>
      <c r="AFQ10" s="705"/>
      <c r="AFR10" s="705"/>
      <c r="AFS10" s="705"/>
      <c r="AFT10" s="705"/>
      <c r="AFU10" s="705"/>
      <c r="AFV10" s="705"/>
      <c r="AFW10" s="705"/>
      <c r="AFX10" s="705"/>
      <c r="AFY10" s="705"/>
      <c r="AFZ10" s="705"/>
      <c r="AGA10" s="705"/>
      <c r="AGB10" s="705"/>
      <c r="AGC10" s="705"/>
      <c r="AGD10" s="705"/>
      <c r="AGE10" s="705"/>
      <c r="AGF10" s="705"/>
      <c r="AGG10" s="705"/>
      <c r="AGH10" s="705"/>
      <c r="AGI10" s="705"/>
      <c r="AGJ10" s="705"/>
      <c r="AGK10" s="705"/>
      <c r="AGL10" s="705"/>
      <c r="AGM10" s="705"/>
      <c r="AGN10" s="705"/>
      <c r="AGO10" s="705"/>
      <c r="AGP10" s="705"/>
      <c r="AGQ10" s="705"/>
      <c r="AGR10" s="705"/>
      <c r="AGS10" s="705"/>
      <c r="AGT10" s="705"/>
      <c r="AGU10" s="705"/>
      <c r="AGV10" s="705"/>
      <c r="AGW10" s="705"/>
      <c r="AGX10" s="705"/>
      <c r="AGY10" s="705"/>
      <c r="AGZ10" s="705"/>
      <c r="AHA10" s="705"/>
      <c r="AHB10" s="705"/>
      <c r="AHC10" s="705"/>
      <c r="AHD10" s="705"/>
      <c r="AHE10" s="705"/>
      <c r="AHF10" s="705"/>
      <c r="AHG10" s="705"/>
      <c r="AHH10" s="705"/>
      <c r="AHI10" s="705"/>
      <c r="AHJ10" s="705"/>
      <c r="AHK10" s="705"/>
      <c r="AHL10" s="705"/>
      <c r="AHM10" s="705"/>
      <c r="AHN10" s="705"/>
      <c r="AHO10" s="705"/>
      <c r="AHP10" s="705"/>
      <c r="AHQ10" s="705"/>
      <c r="AHR10" s="705"/>
      <c r="AHS10" s="705"/>
      <c r="AHT10" s="705"/>
      <c r="AHU10" s="705"/>
      <c r="AHV10" s="705"/>
      <c r="AHW10" s="705"/>
      <c r="AHX10" s="705"/>
      <c r="AHY10" s="705"/>
      <c r="AHZ10" s="705"/>
      <c r="AIA10" s="705"/>
      <c r="AIB10" s="705"/>
      <c r="AIC10" s="705"/>
      <c r="AID10" s="705"/>
      <c r="AIE10" s="705"/>
      <c r="AIF10" s="705"/>
      <c r="AIG10" s="705"/>
      <c r="AIH10" s="705"/>
      <c r="AII10" s="705"/>
      <c r="AIJ10" s="705"/>
      <c r="AIK10" s="705"/>
      <c r="AIL10" s="705"/>
      <c r="AIM10" s="705"/>
      <c r="AIN10" s="705"/>
      <c r="AIO10" s="705"/>
      <c r="AIP10" s="705"/>
      <c r="AIQ10" s="705"/>
      <c r="AIR10" s="705"/>
      <c r="AIS10" s="705"/>
      <c r="AIT10" s="705"/>
      <c r="AIU10" s="705"/>
      <c r="AIV10" s="705"/>
      <c r="AIW10" s="705"/>
      <c r="AIX10" s="705"/>
      <c r="AIY10" s="705"/>
      <c r="AIZ10" s="705"/>
      <c r="AJA10" s="705"/>
      <c r="AJB10" s="705"/>
      <c r="AJC10" s="705"/>
      <c r="AJD10" s="705"/>
      <c r="AJE10" s="705"/>
      <c r="AJF10" s="705"/>
      <c r="AJG10" s="705"/>
      <c r="AJH10" s="705"/>
      <c r="AJI10" s="705"/>
      <c r="AJJ10" s="705"/>
      <c r="AJK10" s="705"/>
      <c r="AJL10" s="705"/>
      <c r="AJM10" s="705"/>
      <c r="AJN10" s="705"/>
      <c r="AJO10" s="705"/>
      <c r="AJP10" s="705"/>
      <c r="AJQ10" s="705"/>
      <c r="AJR10" s="705"/>
      <c r="AJS10" s="705"/>
      <c r="AJT10" s="705"/>
      <c r="AJU10" s="705"/>
      <c r="AJV10" s="705"/>
      <c r="AJW10" s="705"/>
      <c r="AJX10" s="705"/>
      <c r="AJY10" s="705"/>
      <c r="AJZ10" s="705"/>
      <c r="AKA10" s="705"/>
      <c r="AKB10" s="705"/>
      <c r="AKC10" s="705"/>
      <c r="AKD10" s="705"/>
      <c r="AKE10" s="705"/>
      <c r="AKF10" s="705"/>
      <c r="AKG10" s="705"/>
      <c r="AKH10" s="705"/>
      <c r="AKI10" s="705"/>
      <c r="AKJ10" s="705"/>
      <c r="AKK10" s="705"/>
      <c r="AKL10" s="705"/>
      <c r="AKM10" s="705"/>
      <c r="AKN10" s="705"/>
      <c r="AKO10" s="705"/>
      <c r="AKP10" s="705"/>
      <c r="AKQ10" s="705"/>
      <c r="AKR10" s="705"/>
      <c r="AKS10" s="705"/>
      <c r="AKT10" s="705"/>
      <c r="AKU10" s="705"/>
      <c r="AKV10" s="705"/>
      <c r="AKW10" s="705"/>
      <c r="AKX10" s="705"/>
      <c r="AKY10" s="705"/>
      <c r="AKZ10" s="705"/>
      <c r="ALA10" s="705"/>
      <c r="ALB10" s="705"/>
      <c r="ALC10" s="705"/>
      <c r="ALD10" s="705"/>
      <c r="ALE10" s="705"/>
      <c r="ALF10" s="705"/>
      <c r="ALG10" s="705"/>
      <c r="ALH10" s="705"/>
      <c r="ALI10" s="705"/>
      <c r="ALJ10" s="705"/>
      <c r="ALK10" s="705"/>
      <c r="ALL10" s="705"/>
      <c r="ALM10" s="705"/>
      <c r="ALN10" s="705"/>
      <c r="ALO10" s="705"/>
      <c r="ALP10" s="705"/>
      <c r="ALQ10" s="705"/>
      <c r="ALR10" s="705"/>
      <c r="ALS10" s="705"/>
      <c r="ALT10" s="705"/>
      <c r="ALU10" s="705"/>
      <c r="ALV10" s="705"/>
      <c r="ALW10" s="705"/>
      <c r="ALX10" s="705"/>
      <c r="ALY10" s="705"/>
      <c r="ALZ10" s="705"/>
      <c r="AMA10" s="705"/>
      <c r="AMB10" s="705"/>
      <c r="AMC10" s="705"/>
      <c r="AMD10" s="705"/>
      <c r="AME10" s="705"/>
      <c r="AMF10" s="705"/>
      <c r="AMG10" s="705"/>
      <c r="AMH10" s="705"/>
      <c r="AMI10" s="705"/>
      <c r="AMJ10" s="705"/>
    </row>
    <row r="11" spans="1:1024" s="4" customFormat="1" ht="15" customHeight="1">
      <c r="A11" s="3" t="s">
        <v>500</v>
      </c>
      <c r="B11" s="414">
        <v>0</v>
      </c>
      <c r="C11" s="414">
        <v>0</v>
      </c>
      <c r="D11" s="3"/>
      <c r="E11" s="705"/>
      <c r="F11" s="705"/>
      <c r="G11" s="705"/>
      <c r="H11" s="705"/>
      <c r="I11" s="705"/>
      <c r="J11" s="705"/>
      <c r="K11" s="705"/>
      <c r="L11" s="705"/>
      <c r="M11" s="705"/>
      <c r="N11" s="705"/>
      <c r="O11" s="705"/>
      <c r="P11" s="705"/>
      <c r="Q11" s="705"/>
      <c r="R11" s="705"/>
      <c r="S11" s="705"/>
      <c r="T11" s="705"/>
      <c r="U11" s="705"/>
      <c r="V11" s="705"/>
      <c r="W11" s="705"/>
      <c r="X11" s="705"/>
      <c r="Y11" s="705"/>
      <c r="Z11" s="705"/>
      <c r="AA11" s="705"/>
      <c r="AB11" s="705"/>
      <c r="AC11" s="705"/>
      <c r="AD11" s="705"/>
      <c r="AE11" s="705"/>
      <c r="AF11" s="705"/>
      <c r="AG11" s="705"/>
      <c r="AH11" s="705"/>
      <c r="AI11" s="705"/>
      <c r="AJ11" s="705"/>
      <c r="AK11" s="705"/>
      <c r="AL11" s="705"/>
      <c r="AM11" s="705"/>
      <c r="AN11" s="705"/>
      <c r="AO11" s="705"/>
      <c r="AP11" s="705"/>
      <c r="AQ11" s="705"/>
      <c r="AR11" s="705"/>
      <c r="AS11" s="705"/>
      <c r="AT11" s="705"/>
      <c r="AU11" s="705"/>
      <c r="AV11" s="705"/>
      <c r="AW11" s="705"/>
      <c r="AX11" s="705"/>
      <c r="AY11" s="705"/>
      <c r="AZ11" s="705"/>
      <c r="BA11" s="705"/>
      <c r="BB11" s="705"/>
      <c r="BC11" s="705"/>
      <c r="BD11" s="705"/>
      <c r="BE11" s="705"/>
      <c r="BF11" s="705"/>
      <c r="BG11" s="705"/>
      <c r="BH11" s="705"/>
      <c r="BI11" s="705"/>
      <c r="BJ11" s="705"/>
      <c r="BK11" s="705"/>
      <c r="BL11" s="705"/>
      <c r="BM11" s="705"/>
      <c r="BN11" s="705"/>
      <c r="BO11" s="705"/>
      <c r="BP11" s="705"/>
      <c r="BQ11" s="705"/>
      <c r="BR11" s="705"/>
      <c r="BS11" s="705"/>
      <c r="BT11" s="705"/>
      <c r="BU11" s="705"/>
      <c r="BV11" s="705"/>
      <c r="BW11" s="705"/>
      <c r="BX11" s="705"/>
      <c r="BY11" s="705"/>
      <c r="BZ11" s="705"/>
      <c r="CA11" s="705"/>
      <c r="CB11" s="705"/>
      <c r="CC11" s="705"/>
      <c r="CD11" s="705"/>
      <c r="CE11" s="705"/>
      <c r="CF11" s="705"/>
      <c r="CG11" s="705"/>
      <c r="CH11" s="705"/>
      <c r="CI11" s="705"/>
      <c r="CJ11" s="705"/>
      <c r="CK11" s="705"/>
      <c r="CL11" s="705"/>
      <c r="CM11" s="705"/>
      <c r="CN11" s="705"/>
      <c r="CO11" s="705"/>
      <c r="CP11" s="705"/>
      <c r="CQ11" s="705"/>
      <c r="CR11" s="705"/>
      <c r="CS11" s="705"/>
      <c r="CT11" s="705"/>
      <c r="CU11" s="705"/>
      <c r="CV11" s="705"/>
      <c r="CW11" s="705"/>
      <c r="CX11" s="705"/>
      <c r="CY11" s="705"/>
      <c r="CZ11" s="705"/>
      <c r="DA11" s="705"/>
      <c r="DB11" s="705"/>
      <c r="DC11" s="705"/>
      <c r="DD11" s="705"/>
      <c r="DE11" s="705"/>
      <c r="DF11" s="705"/>
      <c r="DG11" s="705"/>
      <c r="DH11" s="705"/>
      <c r="DI11" s="705"/>
      <c r="DJ11" s="705"/>
      <c r="DK11" s="705"/>
      <c r="DL11" s="705"/>
      <c r="DM11" s="705"/>
      <c r="DN11" s="705"/>
      <c r="DO11" s="705"/>
      <c r="DP11" s="705"/>
      <c r="DQ11" s="705"/>
      <c r="DR11" s="705"/>
      <c r="DS11" s="705"/>
      <c r="DT11" s="705"/>
      <c r="DU11" s="705"/>
      <c r="DV11" s="705"/>
      <c r="DW11" s="705"/>
      <c r="DX11" s="705"/>
      <c r="DY11" s="705"/>
      <c r="DZ11" s="705"/>
      <c r="EA11" s="705"/>
      <c r="EB11" s="705"/>
      <c r="EC11" s="705"/>
      <c r="ED11" s="705"/>
      <c r="EE11" s="705"/>
      <c r="EF11" s="705"/>
      <c r="EG11" s="705"/>
      <c r="EH11" s="705"/>
      <c r="EI11" s="705"/>
      <c r="EJ11" s="705"/>
      <c r="EK11" s="705"/>
      <c r="EL11" s="705"/>
      <c r="EM11" s="705"/>
      <c r="EN11" s="705"/>
      <c r="EO11" s="705"/>
      <c r="EP11" s="705"/>
      <c r="EQ11" s="705"/>
      <c r="ER11" s="705"/>
      <c r="ES11" s="705"/>
      <c r="ET11" s="705"/>
      <c r="EU11" s="705"/>
      <c r="EV11" s="705"/>
      <c r="EW11" s="705"/>
      <c r="EX11" s="705"/>
      <c r="EY11" s="705"/>
      <c r="EZ11" s="705"/>
      <c r="FA11" s="705"/>
      <c r="FB11" s="705"/>
      <c r="FC11" s="705"/>
      <c r="FD11" s="705"/>
      <c r="FE11" s="705"/>
      <c r="FF11" s="705"/>
      <c r="FG11" s="705"/>
      <c r="FH11" s="705"/>
      <c r="FI11" s="705"/>
      <c r="FJ11" s="705"/>
      <c r="FK11" s="705"/>
      <c r="FL11" s="705"/>
      <c r="FM11" s="705"/>
      <c r="FN11" s="705"/>
      <c r="FO11" s="705"/>
      <c r="FP11" s="705"/>
      <c r="FQ11" s="705"/>
      <c r="FR11" s="705"/>
      <c r="FS11" s="705"/>
      <c r="FT11" s="705"/>
      <c r="FU11" s="705"/>
      <c r="FV11" s="705"/>
      <c r="FW11" s="705"/>
      <c r="FX11" s="705"/>
      <c r="FY11" s="705"/>
      <c r="FZ11" s="705"/>
      <c r="GA11" s="705"/>
      <c r="GB11" s="705"/>
      <c r="GC11" s="705"/>
      <c r="GD11" s="705"/>
      <c r="GE11" s="705"/>
      <c r="GF11" s="705"/>
      <c r="GG11" s="705"/>
      <c r="GH11" s="705"/>
      <c r="GI11" s="705"/>
      <c r="GJ11" s="705"/>
      <c r="GK11" s="705"/>
      <c r="GL11" s="705"/>
      <c r="GM11" s="705"/>
      <c r="GN11" s="705"/>
      <c r="GO11" s="705"/>
      <c r="GP11" s="705"/>
      <c r="GQ11" s="705"/>
      <c r="GR11" s="705"/>
      <c r="GS11" s="705"/>
      <c r="GT11" s="705"/>
      <c r="GU11" s="705"/>
      <c r="GV11" s="705"/>
      <c r="GW11" s="705"/>
      <c r="GX11" s="705"/>
      <c r="GY11" s="705"/>
      <c r="GZ11" s="705"/>
      <c r="HA11" s="705"/>
      <c r="HB11" s="705"/>
      <c r="HC11" s="705"/>
      <c r="HD11" s="705"/>
      <c r="HE11" s="705"/>
      <c r="HF11" s="705"/>
      <c r="HG11" s="705"/>
      <c r="HH11" s="705"/>
      <c r="HI11" s="705"/>
      <c r="HJ11" s="705"/>
      <c r="HK11" s="705"/>
      <c r="HL11" s="705"/>
      <c r="HM11" s="705"/>
      <c r="HN11" s="705"/>
      <c r="HO11" s="705"/>
      <c r="HP11" s="705"/>
      <c r="HQ11" s="705"/>
      <c r="HR11" s="705"/>
      <c r="HS11" s="705"/>
      <c r="HT11" s="705"/>
      <c r="HU11" s="705"/>
      <c r="HV11" s="705"/>
      <c r="HW11" s="705"/>
      <c r="HX11" s="705"/>
      <c r="HY11" s="705"/>
      <c r="HZ11" s="705"/>
      <c r="IA11" s="705"/>
      <c r="IB11" s="705"/>
      <c r="IC11" s="705"/>
      <c r="ID11" s="705"/>
      <c r="IE11" s="705"/>
      <c r="IF11" s="705"/>
      <c r="IG11" s="705"/>
      <c r="IH11" s="705"/>
      <c r="II11" s="705"/>
      <c r="IJ11" s="705"/>
      <c r="IK11" s="705"/>
      <c r="IL11" s="705"/>
      <c r="IM11" s="705"/>
      <c r="IN11" s="705"/>
      <c r="IO11" s="705"/>
      <c r="IP11" s="705"/>
      <c r="IQ11" s="705"/>
      <c r="IR11" s="705"/>
      <c r="IS11" s="705"/>
      <c r="IT11" s="705"/>
      <c r="IU11" s="705"/>
      <c r="IV11" s="705"/>
      <c r="IW11" s="705"/>
      <c r="IX11" s="705"/>
      <c r="IY11" s="705"/>
      <c r="IZ11" s="705"/>
      <c r="JA11" s="705"/>
      <c r="JB11" s="705"/>
      <c r="JC11" s="705"/>
      <c r="JD11" s="705"/>
      <c r="JE11" s="705"/>
      <c r="JF11" s="705"/>
      <c r="JG11" s="705"/>
      <c r="JH11" s="705"/>
      <c r="JI11" s="705"/>
      <c r="JJ11" s="705"/>
      <c r="JK11" s="705"/>
      <c r="JL11" s="705"/>
      <c r="JM11" s="705"/>
      <c r="JN11" s="705"/>
      <c r="JO11" s="705"/>
      <c r="JP11" s="705"/>
      <c r="JQ11" s="705"/>
      <c r="JR11" s="705"/>
      <c r="JS11" s="705"/>
      <c r="JT11" s="705"/>
      <c r="JU11" s="705"/>
      <c r="JV11" s="705"/>
      <c r="JW11" s="705"/>
      <c r="JX11" s="705"/>
      <c r="JY11" s="705"/>
      <c r="JZ11" s="705"/>
      <c r="KA11" s="705"/>
      <c r="KB11" s="705"/>
      <c r="KC11" s="705"/>
      <c r="KD11" s="705"/>
      <c r="KE11" s="705"/>
      <c r="KF11" s="705"/>
      <c r="KG11" s="705"/>
      <c r="KH11" s="705"/>
      <c r="KI11" s="705"/>
      <c r="KJ11" s="705"/>
      <c r="KK11" s="705"/>
      <c r="KL11" s="705"/>
      <c r="KM11" s="705"/>
      <c r="KN11" s="705"/>
      <c r="KO11" s="705"/>
      <c r="KP11" s="705"/>
      <c r="KQ11" s="705"/>
      <c r="KR11" s="705"/>
      <c r="KS11" s="705"/>
      <c r="KT11" s="705"/>
      <c r="KU11" s="705"/>
      <c r="KV11" s="705"/>
      <c r="KW11" s="705"/>
      <c r="KX11" s="705"/>
      <c r="KY11" s="705"/>
      <c r="KZ11" s="705"/>
      <c r="LA11" s="705"/>
      <c r="LB11" s="705"/>
      <c r="LC11" s="705"/>
      <c r="LD11" s="705"/>
      <c r="LE11" s="705"/>
      <c r="LF11" s="705"/>
      <c r="LG11" s="705"/>
      <c r="LH11" s="705"/>
      <c r="LI11" s="705"/>
      <c r="LJ11" s="705"/>
      <c r="LK11" s="705"/>
      <c r="LL11" s="705"/>
      <c r="LM11" s="705"/>
      <c r="LN11" s="705"/>
      <c r="LO11" s="705"/>
      <c r="LP11" s="705"/>
      <c r="LQ11" s="705"/>
      <c r="LR11" s="705"/>
      <c r="LS11" s="705"/>
      <c r="LT11" s="705"/>
      <c r="LU11" s="705"/>
      <c r="LV11" s="705"/>
      <c r="LW11" s="705"/>
      <c r="LX11" s="705"/>
      <c r="LY11" s="705"/>
      <c r="LZ11" s="705"/>
      <c r="MA11" s="705"/>
      <c r="MB11" s="705"/>
      <c r="MC11" s="705"/>
      <c r="MD11" s="705"/>
      <c r="ME11" s="705"/>
      <c r="MF11" s="705"/>
      <c r="MG11" s="705"/>
      <c r="MH11" s="705"/>
      <c r="MI11" s="705"/>
      <c r="MJ11" s="705"/>
      <c r="MK11" s="705"/>
      <c r="ML11" s="705"/>
      <c r="MM11" s="705"/>
      <c r="MN11" s="705"/>
      <c r="MO11" s="705"/>
      <c r="MP11" s="705"/>
      <c r="MQ11" s="705"/>
      <c r="MR11" s="705"/>
      <c r="MS11" s="705"/>
      <c r="MT11" s="705"/>
      <c r="MU11" s="705"/>
      <c r="MV11" s="705"/>
      <c r="MW11" s="705"/>
      <c r="MX11" s="705"/>
      <c r="MY11" s="705"/>
      <c r="MZ11" s="705"/>
      <c r="NA11" s="705"/>
      <c r="NB11" s="705"/>
      <c r="NC11" s="705"/>
      <c r="ND11" s="705"/>
      <c r="NE11" s="705"/>
      <c r="NF11" s="705"/>
      <c r="NG11" s="705"/>
      <c r="NH11" s="705"/>
      <c r="NI11" s="705"/>
      <c r="NJ11" s="705"/>
      <c r="NK11" s="705"/>
      <c r="NL11" s="705"/>
      <c r="NM11" s="705"/>
      <c r="NN11" s="705"/>
      <c r="NO11" s="705"/>
      <c r="NP11" s="705"/>
      <c r="NQ11" s="705"/>
      <c r="NR11" s="705"/>
      <c r="NS11" s="705"/>
      <c r="NT11" s="705"/>
      <c r="NU11" s="705"/>
      <c r="NV11" s="705"/>
      <c r="NW11" s="705"/>
      <c r="NX11" s="705"/>
      <c r="NY11" s="705"/>
      <c r="NZ11" s="705"/>
      <c r="OA11" s="705"/>
      <c r="OB11" s="705"/>
      <c r="OC11" s="705"/>
      <c r="OD11" s="705"/>
      <c r="OE11" s="705"/>
      <c r="OF11" s="705"/>
      <c r="OG11" s="705"/>
      <c r="OH11" s="705"/>
      <c r="OI11" s="705"/>
      <c r="OJ11" s="705"/>
      <c r="OK11" s="705"/>
      <c r="OL11" s="705"/>
      <c r="OM11" s="705"/>
      <c r="ON11" s="705"/>
      <c r="OO11" s="705"/>
      <c r="OP11" s="705"/>
      <c r="OQ11" s="705"/>
      <c r="OR11" s="705"/>
      <c r="OS11" s="705"/>
      <c r="OT11" s="705"/>
      <c r="OU11" s="705"/>
      <c r="OV11" s="705"/>
      <c r="OW11" s="705"/>
      <c r="OX11" s="705"/>
      <c r="OY11" s="705"/>
      <c r="OZ11" s="705"/>
      <c r="PA11" s="705"/>
      <c r="PB11" s="705"/>
      <c r="PC11" s="705"/>
      <c r="PD11" s="705"/>
      <c r="PE11" s="705"/>
      <c r="PF11" s="705"/>
      <c r="PG11" s="705"/>
      <c r="PH11" s="705"/>
      <c r="PI11" s="705"/>
      <c r="PJ11" s="705"/>
      <c r="PK11" s="705"/>
      <c r="PL11" s="705"/>
      <c r="PM11" s="705"/>
      <c r="PN11" s="705"/>
      <c r="PO11" s="705"/>
      <c r="PP11" s="705"/>
      <c r="PQ11" s="705"/>
      <c r="PR11" s="705"/>
      <c r="PS11" s="705"/>
      <c r="PT11" s="705"/>
      <c r="PU11" s="705"/>
      <c r="PV11" s="705"/>
      <c r="PW11" s="705"/>
      <c r="PX11" s="705"/>
      <c r="PY11" s="705"/>
      <c r="PZ11" s="705"/>
      <c r="QA11" s="705"/>
      <c r="QB11" s="705"/>
      <c r="QC11" s="705"/>
      <c r="QD11" s="705"/>
      <c r="QE11" s="705"/>
      <c r="QF11" s="705"/>
      <c r="QG11" s="705"/>
      <c r="QH11" s="705"/>
      <c r="QI11" s="705"/>
      <c r="QJ11" s="705"/>
      <c r="QK11" s="705"/>
      <c r="QL11" s="705"/>
      <c r="QM11" s="705"/>
      <c r="QN11" s="705"/>
      <c r="QO11" s="705"/>
      <c r="QP11" s="705"/>
      <c r="QQ11" s="705"/>
      <c r="QR11" s="705"/>
      <c r="QS11" s="705"/>
      <c r="QT11" s="705"/>
      <c r="QU11" s="705"/>
      <c r="QV11" s="705"/>
      <c r="QW11" s="705"/>
      <c r="QX11" s="705"/>
      <c r="QY11" s="705"/>
      <c r="QZ11" s="705"/>
      <c r="RA11" s="705"/>
      <c r="RB11" s="705"/>
      <c r="RC11" s="705"/>
      <c r="RD11" s="705"/>
      <c r="RE11" s="705"/>
      <c r="RF11" s="705"/>
      <c r="RG11" s="705"/>
      <c r="RH11" s="705"/>
      <c r="RI11" s="705"/>
      <c r="RJ11" s="705"/>
      <c r="RK11" s="705"/>
      <c r="RL11" s="705"/>
      <c r="RM11" s="705"/>
      <c r="RN11" s="705"/>
      <c r="RO11" s="705"/>
      <c r="RP11" s="705"/>
      <c r="RQ11" s="705"/>
      <c r="RR11" s="705"/>
      <c r="RS11" s="705"/>
      <c r="RT11" s="705"/>
      <c r="RU11" s="705"/>
      <c r="RV11" s="705"/>
      <c r="RW11" s="705"/>
      <c r="RX11" s="705"/>
      <c r="RY11" s="705"/>
      <c r="RZ11" s="705"/>
      <c r="SA11" s="705"/>
      <c r="SB11" s="705"/>
      <c r="SC11" s="705"/>
      <c r="SD11" s="705"/>
      <c r="SE11" s="705"/>
      <c r="SF11" s="705"/>
      <c r="SG11" s="705"/>
      <c r="SH11" s="705"/>
      <c r="SI11" s="705"/>
      <c r="SJ11" s="705"/>
      <c r="SK11" s="705"/>
      <c r="SL11" s="705"/>
      <c r="SM11" s="705"/>
      <c r="SN11" s="705"/>
      <c r="SO11" s="705"/>
      <c r="SP11" s="705"/>
      <c r="SQ11" s="705"/>
      <c r="SR11" s="705"/>
      <c r="SS11" s="705"/>
      <c r="ST11" s="705"/>
      <c r="SU11" s="705"/>
      <c r="SV11" s="705"/>
      <c r="SW11" s="705"/>
      <c r="SX11" s="705"/>
      <c r="SY11" s="705"/>
      <c r="SZ11" s="705"/>
      <c r="TA11" s="705"/>
      <c r="TB11" s="705"/>
      <c r="TC11" s="705"/>
      <c r="TD11" s="705"/>
      <c r="TE11" s="705"/>
      <c r="TF11" s="705"/>
      <c r="TG11" s="705"/>
      <c r="TH11" s="705"/>
      <c r="TI11" s="705"/>
      <c r="TJ11" s="705"/>
      <c r="TK11" s="705"/>
      <c r="TL11" s="705"/>
      <c r="TM11" s="705"/>
      <c r="TN11" s="705"/>
      <c r="TO11" s="705"/>
      <c r="TP11" s="705"/>
      <c r="TQ11" s="705"/>
      <c r="TR11" s="705"/>
      <c r="TS11" s="705"/>
      <c r="TT11" s="705"/>
      <c r="TU11" s="705"/>
      <c r="TV11" s="705"/>
      <c r="TW11" s="705"/>
      <c r="TX11" s="705"/>
      <c r="TY11" s="705"/>
      <c r="TZ11" s="705"/>
      <c r="UA11" s="705"/>
      <c r="UB11" s="705"/>
      <c r="UC11" s="705"/>
      <c r="UD11" s="705"/>
      <c r="UE11" s="705"/>
      <c r="UF11" s="705"/>
      <c r="UG11" s="705"/>
      <c r="UH11" s="705"/>
      <c r="UI11" s="705"/>
      <c r="UJ11" s="705"/>
      <c r="UK11" s="705"/>
      <c r="UL11" s="705"/>
      <c r="UM11" s="705"/>
      <c r="UN11" s="705"/>
      <c r="UO11" s="705"/>
      <c r="UP11" s="705"/>
      <c r="UQ11" s="705"/>
      <c r="UR11" s="705"/>
      <c r="US11" s="705"/>
      <c r="UT11" s="705"/>
      <c r="UU11" s="705"/>
      <c r="UV11" s="705"/>
      <c r="UW11" s="705"/>
      <c r="UX11" s="705"/>
      <c r="UY11" s="705"/>
      <c r="UZ11" s="705"/>
      <c r="VA11" s="705"/>
      <c r="VB11" s="705"/>
      <c r="VC11" s="705"/>
      <c r="VD11" s="705"/>
      <c r="VE11" s="705"/>
      <c r="VF11" s="705"/>
      <c r="VG11" s="705"/>
      <c r="VH11" s="705"/>
      <c r="VI11" s="705"/>
      <c r="VJ11" s="705"/>
      <c r="VK11" s="705"/>
      <c r="VL11" s="705"/>
      <c r="VM11" s="705"/>
      <c r="VN11" s="705"/>
      <c r="VO11" s="705"/>
      <c r="VP11" s="705"/>
      <c r="VQ11" s="705"/>
      <c r="VR11" s="705"/>
      <c r="VS11" s="705"/>
      <c r="VT11" s="705"/>
      <c r="VU11" s="705"/>
      <c r="VV11" s="705"/>
      <c r="VW11" s="705"/>
      <c r="VX11" s="705"/>
      <c r="VY11" s="705"/>
      <c r="VZ11" s="705"/>
      <c r="WA11" s="705"/>
      <c r="WB11" s="705"/>
      <c r="WC11" s="705"/>
      <c r="WD11" s="705"/>
      <c r="WE11" s="705"/>
      <c r="WF11" s="705"/>
      <c r="WG11" s="705"/>
      <c r="WH11" s="705"/>
      <c r="WI11" s="705"/>
      <c r="WJ11" s="705"/>
      <c r="WK11" s="705"/>
      <c r="WL11" s="705"/>
      <c r="WM11" s="705"/>
      <c r="WN11" s="705"/>
      <c r="WO11" s="705"/>
      <c r="WP11" s="705"/>
      <c r="WQ11" s="705"/>
      <c r="WR11" s="705"/>
      <c r="WS11" s="705"/>
      <c r="WT11" s="705"/>
      <c r="WU11" s="705"/>
      <c r="WV11" s="705"/>
      <c r="WW11" s="705"/>
      <c r="WX11" s="705"/>
      <c r="WY11" s="705"/>
      <c r="WZ11" s="705"/>
      <c r="XA11" s="705"/>
      <c r="XB11" s="705"/>
      <c r="XC11" s="705"/>
      <c r="XD11" s="705"/>
      <c r="XE11" s="705"/>
      <c r="XF11" s="705"/>
      <c r="XG11" s="705"/>
      <c r="XH11" s="705"/>
      <c r="XI11" s="705"/>
      <c r="XJ11" s="705"/>
      <c r="XK11" s="705"/>
      <c r="XL11" s="705"/>
      <c r="XM11" s="705"/>
      <c r="XN11" s="705"/>
      <c r="XO11" s="705"/>
      <c r="XP11" s="705"/>
      <c r="XQ11" s="705"/>
      <c r="XR11" s="705"/>
      <c r="XS11" s="705"/>
      <c r="XT11" s="705"/>
      <c r="XU11" s="705"/>
      <c r="XV11" s="705"/>
      <c r="XW11" s="705"/>
      <c r="XX11" s="705"/>
      <c r="XY11" s="705"/>
      <c r="XZ11" s="705"/>
      <c r="YA11" s="705"/>
      <c r="YB11" s="705"/>
      <c r="YC11" s="705"/>
      <c r="YD11" s="705"/>
      <c r="YE11" s="705"/>
      <c r="YF11" s="705"/>
      <c r="YG11" s="705"/>
      <c r="YH11" s="705"/>
      <c r="YI11" s="705"/>
      <c r="YJ11" s="705"/>
      <c r="YK11" s="705"/>
      <c r="YL11" s="705"/>
      <c r="YM11" s="705"/>
      <c r="YN11" s="705"/>
      <c r="YO11" s="705"/>
      <c r="YP11" s="705"/>
      <c r="YQ11" s="705"/>
      <c r="YR11" s="705"/>
      <c r="YS11" s="705"/>
      <c r="YT11" s="705"/>
      <c r="YU11" s="705"/>
      <c r="YV11" s="705"/>
      <c r="YW11" s="705"/>
      <c r="YX11" s="705"/>
      <c r="YY11" s="705"/>
      <c r="YZ11" s="705"/>
      <c r="ZA11" s="705"/>
      <c r="ZB11" s="705"/>
      <c r="ZC11" s="705"/>
      <c r="ZD11" s="705"/>
      <c r="ZE11" s="705"/>
      <c r="ZF11" s="705"/>
      <c r="ZG11" s="705"/>
      <c r="ZH11" s="705"/>
      <c r="ZI11" s="705"/>
      <c r="ZJ11" s="705"/>
      <c r="ZK11" s="705"/>
      <c r="ZL11" s="705"/>
      <c r="ZM11" s="705"/>
      <c r="ZN11" s="705"/>
      <c r="ZO11" s="705"/>
      <c r="ZP11" s="705"/>
      <c r="ZQ11" s="705"/>
      <c r="ZR11" s="705"/>
      <c r="ZS11" s="705"/>
      <c r="ZT11" s="705"/>
      <c r="ZU11" s="705"/>
      <c r="ZV11" s="705"/>
      <c r="ZW11" s="705"/>
      <c r="ZX11" s="705"/>
      <c r="ZY11" s="705"/>
      <c r="ZZ11" s="705"/>
      <c r="AAA11" s="705"/>
      <c r="AAB11" s="705"/>
      <c r="AAC11" s="705"/>
      <c r="AAD11" s="705"/>
      <c r="AAE11" s="705"/>
      <c r="AAF11" s="705"/>
      <c r="AAG11" s="705"/>
      <c r="AAH11" s="705"/>
      <c r="AAI11" s="705"/>
      <c r="AAJ11" s="705"/>
      <c r="AAK11" s="705"/>
      <c r="AAL11" s="705"/>
      <c r="AAM11" s="705"/>
      <c r="AAN11" s="705"/>
      <c r="AAO11" s="705"/>
      <c r="AAP11" s="705"/>
      <c r="AAQ11" s="705"/>
      <c r="AAR11" s="705"/>
      <c r="AAS11" s="705"/>
      <c r="AAT11" s="705"/>
      <c r="AAU11" s="705"/>
      <c r="AAV11" s="705"/>
      <c r="AAW11" s="705"/>
      <c r="AAX11" s="705"/>
      <c r="AAY11" s="705"/>
      <c r="AAZ11" s="705"/>
      <c r="ABA11" s="705"/>
      <c r="ABB11" s="705"/>
      <c r="ABC11" s="705"/>
      <c r="ABD11" s="705"/>
      <c r="ABE11" s="705"/>
      <c r="ABF11" s="705"/>
      <c r="ABG11" s="705"/>
      <c r="ABH11" s="705"/>
      <c r="ABI11" s="705"/>
      <c r="ABJ11" s="705"/>
      <c r="ABK11" s="705"/>
      <c r="ABL11" s="705"/>
      <c r="ABM11" s="705"/>
      <c r="ABN11" s="705"/>
      <c r="ABO11" s="705"/>
      <c r="ABP11" s="705"/>
      <c r="ABQ11" s="705"/>
      <c r="ABR11" s="705"/>
      <c r="ABS11" s="705"/>
      <c r="ABT11" s="705"/>
      <c r="ABU11" s="705"/>
      <c r="ABV11" s="705"/>
      <c r="ABW11" s="705"/>
      <c r="ABX11" s="705"/>
      <c r="ABY11" s="705"/>
      <c r="ABZ11" s="705"/>
      <c r="ACA11" s="705"/>
      <c r="ACB11" s="705"/>
      <c r="ACC11" s="705"/>
      <c r="ACD11" s="705"/>
      <c r="ACE11" s="705"/>
      <c r="ACF11" s="705"/>
      <c r="ACG11" s="705"/>
      <c r="ACH11" s="705"/>
      <c r="ACI11" s="705"/>
      <c r="ACJ11" s="705"/>
      <c r="ACK11" s="705"/>
      <c r="ACL11" s="705"/>
      <c r="ACM11" s="705"/>
      <c r="ACN11" s="705"/>
      <c r="ACO11" s="705"/>
      <c r="ACP11" s="705"/>
      <c r="ACQ11" s="705"/>
      <c r="ACR11" s="705"/>
      <c r="ACS11" s="705"/>
      <c r="ACT11" s="705"/>
      <c r="ACU11" s="705"/>
      <c r="ACV11" s="705"/>
      <c r="ACW11" s="705"/>
      <c r="ACX11" s="705"/>
      <c r="ACY11" s="705"/>
      <c r="ACZ11" s="705"/>
      <c r="ADA11" s="705"/>
      <c r="ADB11" s="705"/>
      <c r="ADC11" s="705"/>
      <c r="ADD11" s="705"/>
      <c r="ADE11" s="705"/>
      <c r="ADF11" s="705"/>
      <c r="ADG11" s="705"/>
      <c r="ADH11" s="705"/>
      <c r="ADI11" s="705"/>
      <c r="ADJ11" s="705"/>
      <c r="ADK11" s="705"/>
      <c r="ADL11" s="705"/>
      <c r="ADM11" s="705"/>
      <c r="ADN11" s="705"/>
      <c r="ADO11" s="705"/>
      <c r="ADP11" s="705"/>
      <c r="ADQ11" s="705"/>
      <c r="ADR11" s="705"/>
      <c r="ADS11" s="705"/>
      <c r="ADT11" s="705"/>
      <c r="ADU11" s="705"/>
      <c r="ADV11" s="705"/>
      <c r="ADW11" s="705"/>
      <c r="ADX11" s="705"/>
      <c r="ADY11" s="705"/>
      <c r="ADZ11" s="705"/>
      <c r="AEA11" s="705"/>
      <c r="AEB11" s="705"/>
      <c r="AEC11" s="705"/>
      <c r="AED11" s="705"/>
      <c r="AEE11" s="705"/>
      <c r="AEF11" s="705"/>
      <c r="AEG11" s="705"/>
      <c r="AEH11" s="705"/>
      <c r="AEI11" s="705"/>
      <c r="AEJ11" s="705"/>
      <c r="AEK11" s="705"/>
      <c r="AEL11" s="705"/>
      <c r="AEM11" s="705"/>
      <c r="AEN11" s="705"/>
      <c r="AEO11" s="705"/>
      <c r="AEP11" s="705"/>
      <c r="AEQ11" s="705"/>
      <c r="AER11" s="705"/>
      <c r="AES11" s="705"/>
      <c r="AET11" s="705"/>
      <c r="AEU11" s="705"/>
      <c r="AEV11" s="705"/>
      <c r="AEW11" s="705"/>
      <c r="AEX11" s="705"/>
      <c r="AEY11" s="705"/>
      <c r="AEZ11" s="705"/>
      <c r="AFA11" s="705"/>
      <c r="AFB11" s="705"/>
      <c r="AFC11" s="705"/>
      <c r="AFD11" s="705"/>
      <c r="AFE11" s="705"/>
      <c r="AFF11" s="705"/>
      <c r="AFG11" s="705"/>
      <c r="AFH11" s="705"/>
      <c r="AFI11" s="705"/>
      <c r="AFJ11" s="705"/>
      <c r="AFK11" s="705"/>
      <c r="AFL11" s="705"/>
      <c r="AFM11" s="705"/>
      <c r="AFN11" s="705"/>
      <c r="AFO11" s="705"/>
      <c r="AFP11" s="705"/>
      <c r="AFQ11" s="705"/>
      <c r="AFR11" s="705"/>
      <c r="AFS11" s="705"/>
      <c r="AFT11" s="705"/>
      <c r="AFU11" s="705"/>
      <c r="AFV11" s="705"/>
      <c r="AFW11" s="705"/>
      <c r="AFX11" s="705"/>
      <c r="AFY11" s="705"/>
      <c r="AFZ11" s="705"/>
      <c r="AGA11" s="705"/>
      <c r="AGB11" s="705"/>
      <c r="AGC11" s="705"/>
      <c r="AGD11" s="705"/>
      <c r="AGE11" s="705"/>
      <c r="AGF11" s="705"/>
      <c r="AGG11" s="705"/>
      <c r="AGH11" s="705"/>
      <c r="AGI11" s="705"/>
      <c r="AGJ11" s="705"/>
      <c r="AGK11" s="705"/>
      <c r="AGL11" s="705"/>
      <c r="AGM11" s="705"/>
      <c r="AGN11" s="705"/>
      <c r="AGO11" s="705"/>
      <c r="AGP11" s="705"/>
      <c r="AGQ11" s="705"/>
      <c r="AGR11" s="705"/>
      <c r="AGS11" s="705"/>
      <c r="AGT11" s="705"/>
      <c r="AGU11" s="705"/>
      <c r="AGV11" s="705"/>
      <c r="AGW11" s="705"/>
      <c r="AGX11" s="705"/>
      <c r="AGY11" s="705"/>
      <c r="AGZ11" s="705"/>
      <c r="AHA11" s="705"/>
      <c r="AHB11" s="705"/>
      <c r="AHC11" s="705"/>
      <c r="AHD11" s="705"/>
      <c r="AHE11" s="705"/>
      <c r="AHF11" s="705"/>
      <c r="AHG11" s="705"/>
      <c r="AHH11" s="705"/>
      <c r="AHI11" s="705"/>
      <c r="AHJ11" s="705"/>
      <c r="AHK11" s="705"/>
      <c r="AHL11" s="705"/>
      <c r="AHM11" s="705"/>
      <c r="AHN11" s="705"/>
      <c r="AHO11" s="705"/>
      <c r="AHP11" s="705"/>
      <c r="AHQ11" s="705"/>
      <c r="AHR11" s="705"/>
      <c r="AHS11" s="705"/>
      <c r="AHT11" s="705"/>
      <c r="AHU11" s="705"/>
      <c r="AHV11" s="705"/>
      <c r="AHW11" s="705"/>
      <c r="AHX11" s="705"/>
      <c r="AHY11" s="705"/>
      <c r="AHZ11" s="705"/>
      <c r="AIA11" s="705"/>
      <c r="AIB11" s="705"/>
      <c r="AIC11" s="705"/>
      <c r="AID11" s="705"/>
      <c r="AIE11" s="705"/>
      <c r="AIF11" s="705"/>
      <c r="AIG11" s="705"/>
      <c r="AIH11" s="705"/>
      <c r="AII11" s="705"/>
      <c r="AIJ11" s="705"/>
      <c r="AIK11" s="705"/>
      <c r="AIL11" s="705"/>
      <c r="AIM11" s="705"/>
      <c r="AIN11" s="705"/>
      <c r="AIO11" s="705"/>
      <c r="AIP11" s="705"/>
      <c r="AIQ11" s="705"/>
      <c r="AIR11" s="705"/>
      <c r="AIS11" s="705"/>
      <c r="AIT11" s="705"/>
      <c r="AIU11" s="705"/>
      <c r="AIV11" s="705"/>
      <c r="AIW11" s="705"/>
      <c r="AIX11" s="705"/>
      <c r="AIY11" s="705"/>
      <c r="AIZ11" s="705"/>
      <c r="AJA11" s="705"/>
      <c r="AJB11" s="705"/>
      <c r="AJC11" s="705"/>
      <c r="AJD11" s="705"/>
      <c r="AJE11" s="705"/>
      <c r="AJF11" s="705"/>
      <c r="AJG11" s="705"/>
      <c r="AJH11" s="705"/>
      <c r="AJI11" s="705"/>
      <c r="AJJ11" s="705"/>
      <c r="AJK11" s="705"/>
      <c r="AJL11" s="705"/>
      <c r="AJM11" s="705"/>
      <c r="AJN11" s="705"/>
      <c r="AJO11" s="705"/>
      <c r="AJP11" s="705"/>
      <c r="AJQ11" s="705"/>
      <c r="AJR11" s="705"/>
      <c r="AJS11" s="705"/>
      <c r="AJT11" s="705"/>
      <c r="AJU11" s="705"/>
      <c r="AJV11" s="705"/>
      <c r="AJW11" s="705"/>
      <c r="AJX11" s="705"/>
      <c r="AJY11" s="705"/>
      <c r="AJZ11" s="705"/>
      <c r="AKA11" s="705"/>
      <c r="AKB11" s="705"/>
      <c r="AKC11" s="705"/>
      <c r="AKD11" s="705"/>
      <c r="AKE11" s="705"/>
      <c r="AKF11" s="705"/>
      <c r="AKG11" s="705"/>
      <c r="AKH11" s="705"/>
      <c r="AKI11" s="705"/>
      <c r="AKJ11" s="705"/>
      <c r="AKK11" s="705"/>
      <c r="AKL11" s="705"/>
      <c r="AKM11" s="705"/>
      <c r="AKN11" s="705"/>
      <c r="AKO11" s="705"/>
      <c r="AKP11" s="705"/>
      <c r="AKQ11" s="705"/>
      <c r="AKR11" s="705"/>
      <c r="AKS11" s="705"/>
      <c r="AKT11" s="705"/>
      <c r="AKU11" s="705"/>
      <c r="AKV11" s="705"/>
      <c r="AKW11" s="705"/>
      <c r="AKX11" s="705"/>
      <c r="AKY11" s="705"/>
      <c r="AKZ11" s="705"/>
      <c r="ALA11" s="705"/>
      <c r="ALB11" s="705"/>
      <c r="ALC11" s="705"/>
      <c r="ALD11" s="705"/>
      <c r="ALE11" s="705"/>
      <c r="ALF11" s="705"/>
      <c r="ALG11" s="705"/>
      <c r="ALH11" s="705"/>
      <c r="ALI11" s="705"/>
      <c r="ALJ11" s="705"/>
      <c r="ALK11" s="705"/>
      <c r="ALL11" s="705"/>
      <c r="ALM11" s="705"/>
      <c r="ALN11" s="705"/>
      <c r="ALO11" s="705"/>
      <c r="ALP11" s="705"/>
      <c r="ALQ11" s="705"/>
      <c r="ALR11" s="705"/>
      <c r="ALS11" s="705"/>
      <c r="ALT11" s="705"/>
      <c r="ALU11" s="705"/>
      <c r="ALV11" s="705"/>
      <c r="ALW11" s="705"/>
      <c r="ALX11" s="705"/>
      <c r="ALY11" s="705"/>
      <c r="ALZ11" s="705"/>
      <c r="AMA11" s="705"/>
      <c r="AMB11" s="705"/>
      <c r="AMC11" s="705"/>
      <c r="AMD11" s="705"/>
      <c r="AME11" s="705"/>
      <c r="AMF11" s="705"/>
      <c r="AMG11" s="705"/>
      <c r="AMH11" s="705"/>
      <c r="AMI11" s="705"/>
      <c r="AMJ11" s="705"/>
    </row>
    <row r="12" spans="1:1024" s="4" customFormat="1" ht="15" customHeight="1">
      <c r="A12" s="412" t="s">
        <v>257</v>
      </c>
      <c r="B12" s="413">
        <f>B11</f>
        <v>0</v>
      </c>
      <c r="C12" s="413">
        <f>C11</f>
        <v>0</v>
      </c>
      <c r="D12" s="3"/>
    </row>
    <row r="13" spans="1:1024" ht="15" customHeight="1">
      <c r="A13" s="133" t="s">
        <v>501</v>
      </c>
      <c r="B13">
        <v>0</v>
      </c>
      <c r="C13">
        <v>0</v>
      </c>
    </row>
    <row r="14" spans="1:1024" ht="15" customHeight="1">
      <c r="A14" s="408" t="s">
        <v>502</v>
      </c>
      <c r="B14" s="415">
        <v>0</v>
      </c>
      <c r="C14" s="415">
        <v>0</v>
      </c>
      <c r="D14" s="408"/>
    </row>
    <row r="15" spans="1:1024" ht="15" customHeight="1">
      <c r="A15" s="412" t="s">
        <v>257</v>
      </c>
      <c r="B15" s="413">
        <v>0</v>
      </c>
      <c r="C15" s="413">
        <f>C14</f>
        <v>0</v>
      </c>
    </row>
    <row r="16" spans="1:1024" ht="15" customHeight="1">
      <c r="A16" s="133" t="s">
        <v>503</v>
      </c>
      <c r="B16" s="413">
        <v>0</v>
      </c>
      <c r="C16" s="413">
        <f>C9+C12+C15</f>
        <v>0</v>
      </c>
    </row>
  </sheetData>
  <mergeCells count="681">
    <mergeCell ref="ALS11:ALX11"/>
    <mergeCell ref="ALY11:AMD11"/>
    <mergeCell ref="AME11:AMJ11"/>
    <mergeCell ref="AJQ11:AJV11"/>
    <mergeCell ref="AJW11:AKB11"/>
    <mergeCell ref="AKC11:AKH11"/>
    <mergeCell ref="AKI11:AKN11"/>
    <mergeCell ref="AKO11:AKT11"/>
    <mergeCell ref="AKU11:AKZ11"/>
    <mergeCell ref="ALA11:ALF11"/>
    <mergeCell ref="ALG11:ALL11"/>
    <mergeCell ref="ALM11:ALR11"/>
    <mergeCell ref="AHO11:AHT11"/>
    <mergeCell ref="AHU11:AHZ11"/>
    <mergeCell ref="AIA11:AIF11"/>
    <mergeCell ref="AIG11:AIL11"/>
    <mergeCell ref="AIM11:AIR11"/>
    <mergeCell ref="AIS11:AIX11"/>
    <mergeCell ref="AIY11:AJD11"/>
    <mergeCell ref="AJE11:AJJ11"/>
    <mergeCell ref="AJK11:AJP11"/>
    <mergeCell ref="AFM11:AFR11"/>
    <mergeCell ref="AFS11:AFX11"/>
    <mergeCell ref="AFY11:AGD11"/>
    <mergeCell ref="AGE11:AGJ11"/>
    <mergeCell ref="AGK11:AGP11"/>
    <mergeCell ref="AGQ11:AGV11"/>
    <mergeCell ref="AGW11:AHB11"/>
    <mergeCell ref="AHC11:AHH11"/>
    <mergeCell ref="AHI11:AHN11"/>
    <mergeCell ref="ADK11:ADP11"/>
    <mergeCell ref="ADQ11:ADV11"/>
    <mergeCell ref="ADW11:AEB11"/>
    <mergeCell ref="AEC11:AEH11"/>
    <mergeCell ref="AEI11:AEN11"/>
    <mergeCell ref="AEO11:AET11"/>
    <mergeCell ref="AEU11:AEZ11"/>
    <mergeCell ref="AFA11:AFF11"/>
    <mergeCell ref="AFG11:AFL11"/>
    <mergeCell ref="ABI11:ABN11"/>
    <mergeCell ref="ABO11:ABT11"/>
    <mergeCell ref="ABU11:ABZ11"/>
    <mergeCell ref="ACA11:ACF11"/>
    <mergeCell ref="ACG11:ACL11"/>
    <mergeCell ref="ACM11:ACR11"/>
    <mergeCell ref="ACS11:ACX11"/>
    <mergeCell ref="ACY11:ADD11"/>
    <mergeCell ref="ADE11:ADJ11"/>
    <mergeCell ref="ZG11:ZL11"/>
    <mergeCell ref="ZM11:ZR11"/>
    <mergeCell ref="ZS11:ZX11"/>
    <mergeCell ref="ZY11:AAD11"/>
    <mergeCell ref="AAE11:AAJ11"/>
    <mergeCell ref="AAK11:AAP11"/>
    <mergeCell ref="AAQ11:AAV11"/>
    <mergeCell ref="AAW11:ABB11"/>
    <mergeCell ref="ABC11:ABH11"/>
    <mergeCell ref="XE11:XJ11"/>
    <mergeCell ref="XK11:XP11"/>
    <mergeCell ref="XQ11:XV11"/>
    <mergeCell ref="XW11:YB11"/>
    <mergeCell ref="YC11:YH11"/>
    <mergeCell ref="YI11:YN11"/>
    <mergeCell ref="YO11:YT11"/>
    <mergeCell ref="YU11:YZ11"/>
    <mergeCell ref="ZA11:ZF11"/>
    <mergeCell ref="VC11:VH11"/>
    <mergeCell ref="VI11:VN11"/>
    <mergeCell ref="VO11:VT11"/>
    <mergeCell ref="VU11:VZ11"/>
    <mergeCell ref="WA11:WF11"/>
    <mergeCell ref="WG11:WL11"/>
    <mergeCell ref="WM11:WR11"/>
    <mergeCell ref="WS11:WX11"/>
    <mergeCell ref="WY11:XD11"/>
    <mergeCell ref="TA11:TF11"/>
    <mergeCell ref="TG11:TL11"/>
    <mergeCell ref="TM11:TR11"/>
    <mergeCell ref="TS11:TX11"/>
    <mergeCell ref="TY11:UD11"/>
    <mergeCell ref="UE11:UJ11"/>
    <mergeCell ref="UK11:UP11"/>
    <mergeCell ref="UQ11:UV11"/>
    <mergeCell ref="UW11:VB11"/>
    <mergeCell ref="QY11:RD11"/>
    <mergeCell ref="RE11:RJ11"/>
    <mergeCell ref="RK11:RP11"/>
    <mergeCell ref="RQ11:RV11"/>
    <mergeCell ref="RW11:SB11"/>
    <mergeCell ref="SC11:SH11"/>
    <mergeCell ref="SI11:SN11"/>
    <mergeCell ref="SO11:ST11"/>
    <mergeCell ref="SU11:SZ11"/>
    <mergeCell ref="OW11:PB11"/>
    <mergeCell ref="PC11:PH11"/>
    <mergeCell ref="PI11:PN11"/>
    <mergeCell ref="PO11:PT11"/>
    <mergeCell ref="PU11:PZ11"/>
    <mergeCell ref="QA11:QF11"/>
    <mergeCell ref="QG11:QL11"/>
    <mergeCell ref="QM11:QR11"/>
    <mergeCell ref="QS11:QX11"/>
    <mergeCell ref="MU11:MZ11"/>
    <mergeCell ref="NA11:NF11"/>
    <mergeCell ref="NG11:NL11"/>
    <mergeCell ref="NM11:NR11"/>
    <mergeCell ref="NS11:NX11"/>
    <mergeCell ref="NY11:OD11"/>
    <mergeCell ref="OE11:OJ11"/>
    <mergeCell ref="OK11:OP11"/>
    <mergeCell ref="OQ11:OV11"/>
    <mergeCell ref="KS11:KX11"/>
    <mergeCell ref="KY11:LD11"/>
    <mergeCell ref="LE11:LJ11"/>
    <mergeCell ref="LK11:LP11"/>
    <mergeCell ref="LQ11:LV11"/>
    <mergeCell ref="LW11:MB11"/>
    <mergeCell ref="MC11:MH11"/>
    <mergeCell ref="MI11:MN11"/>
    <mergeCell ref="MO11:MT11"/>
    <mergeCell ref="IQ11:IV11"/>
    <mergeCell ref="IW11:JB11"/>
    <mergeCell ref="JC11:JH11"/>
    <mergeCell ref="JI11:JN11"/>
    <mergeCell ref="JO11:JT11"/>
    <mergeCell ref="JU11:JZ11"/>
    <mergeCell ref="KA11:KF11"/>
    <mergeCell ref="KG11:KL11"/>
    <mergeCell ref="KM11:KR11"/>
    <mergeCell ref="GO11:GT11"/>
    <mergeCell ref="GU11:GZ11"/>
    <mergeCell ref="HA11:HF11"/>
    <mergeCell ref="HG11:HL11"/>
    <mergeCell ref="HM11:HR11"/>
    <mergeCell ref="HS11:HX11"/>
    <mergeCell ref="HY11:ID11"/>
    <mergeCell ref="IE11:IJ11"/>
    <mergeCell ref="IK11:IP11"/>
    <mergeCell ref="EM11:ER11"/>
    <mergeCell ref="ES11:EX11"/>
    <mergeCell ref="EY11:FD11"/>
    <mergeCell ref="FE11:FJ11"/>
    <mergeCell ref="FK11:FP11"/>
    <mergeCell ref="FQ11:FV11"/>
    <mergeCell ref="FW11:GB11"/>
    <mergeCell ref="GC11:GH11"/>
    <mergeCell ref="GI11:GN11"/>
    <mergeCell ref="AME10:AMJ10"/>
    <mergeCell ref="E11:J11"/>
    <mergeCell ref="K11:P11"/>
    <mergeCell ref="Q11:V11"/>
    <mergeCell ref="W11:AB11"/>
    <mergeCell ref="AC11:AH11"/>
    <mergeCell ref="AI11:AN11"/>
    <mergeCell ref="AO11:AT11"/>
    <mergeCell ref="AU11:AZ11"/>
    <mergeCell ref="BA11:BF11"/>
    <mergeCell ref="BG11:BL11"/>
    <mergeCell ref="BM11:BR11"/>
    <mergeCell ref="BS11:BX11"/>
    <mergeCell ref="BY11:CD11"/>
    <mergeCell ref="CE11:CJ11"/>
    <mergeCell ref="CK11:CP11"/>
    <mergeCell ref="CQ11:CV11"/>
    <mergeCell ref="CW11:DB11"/>
    <mergeCell ref="DC11:DH11"/>
    <mergeCell ref="DI11:DN11"/>
    <mergeCell ref="DO11:DT11"/>
    <mergeCell ref="DU11:DZ11"/>
    <mergeCell ref="EA11:EF11"/>
    <mergeCell ref="EG11:EL11"/>
    <mergeCell ref="AKC10:AKH10"/>
    <mergeCell ref="AKI10:AKN10"/>
    <mergeCell ref="AKO10:AKT10"/>
    <mergeCell ref="AKU10:AKZ10"/>
    <mergeCell ref="ALA10:ALF10"/>
    <mergeCell ref="ALG10:ALL10"/>
    <mergeCell ref="ALM10:ALR10"/>
    <mergeCell ref="ALS10:ALX10"/>
    <mergeCell ref="ALY10:AMD10"/>
    <mergeCell ref="AIA10:AIF10"/>
    <mergeCell ref="AIG10:AIL10"/>
    <mergeCell ref="AIM10:AIR10"/>
    <mergeCell ref="AIS10:AIX10"/>
    <mergeCell ref="AIY10:AJD10"/>
    <mergeCell ref="AJE10:AJJ10"/>
    <mergeCell ref="AJK10:AJP10"/>
    <mergeCell ref="AJQ10:AJV10"/>
    <mergeCell ref="AJW10:AKB10"/>
    <mergeCell ref="AFY10:AGD10"/>
    <mergeCell ref="AGE10:AGJ10"/>
    <mergeCell ref="AGK10:AGP10"/>
    <mergeCell ref="AGQ10:AGV10"/>
    <mergeCell ref="AGW10:AHB10"/>
    <mergeCell ref="AHC10:AHH10"/>
    <mergeCell ref="AHI10:AHN10"/>
    <mergeCell ref="AHO10:AHT10"/>
    <mergeCell ref="AHU10:AHZ10"/>
    <mergeCell ref="ADW10:AEB10"/>
    <mergeCell ref="AEC10:AEH10"/>
    <mergeCell ref="AEI10:AEN10"/>
    <mergeCell ref="AEO10:AET10"/>
    <mergeCell ref="AEU10:AEZ10"/>
    <mergeCell ref="AFA10:AFF10"/>
    <mergeCell ref="AFG10:AFL10"/>
    <mergeCell ref="AFM10:AFR10"/>
    <mergeCell ref="AFS10:AFX10"/>
    <mergeCell ref="ABU10:ABZ10"/>
    <mergeCell ref="ACA10:ACF10"/>
    <mergeCell ref="ACG10:ACL10"/>
    <mergeCell ref="ACM10:ACR10"/>
    <mergeCell ref="ACS10:ACX10"/>
    <mergeCell ref="ACY10:ADD10"/>
    <mergeCell ref="ADE10:ADJ10"/>
    <mergeCell ref="ADK10:ADP10"/>
    <mergeCell ref="ADQ10:ADV10"/>
    <mergeCell ref="ZS10:ZX10"/>
    <mergeCell ref="ZY10:AAD10"/>
    <mergeCell ref="AAE10:AAJ10"/>
    <mergeCell ref="AAK10:AAP10"/>
    <mergeCell ref="AAQ10:AAV10"/>
    <mergeCell ref="AAW10:ABB10"/>
    <mergeCell ref="ABC10:ABH10"/>
    <mergeCell ref="ABI10:ABN10"/>
    <mergeCell ref="ABO10:ABT10"/>
    <mergeCell ref="XQ10:XV10"/>
    <mergeCell ref="XW10:YB10"/>
    <mergeCell ref="YC10:YH10"/>
    <mergeCell ref="YI10:YN10"/>
    <mergeCell ref="YO10:YT10"/>
    <mergeCell ref="YU10:YZ10"/>
    <mergeCell ref="ZA10:ZF10"/>
    <mergeCell ref="ZG10:ZL10"/>
    <mergeCell ref="ZM10:ZR10"/>
    <mergeCell ref="VO10:VT10"/>
    <mergeCell ref="VU10:VZ10"/>
    <mergeCell ref="WA10:WF10"/>
    <mergeCell ref="WG10:WL10"/>
    <mergeCell ref="WM10:WR10"/>
    <mergeCell ref="WS10:WX10"/>
    <mergeCell ref="WY10:XD10"/>
    <mergeCell ref="XE10:XJ10"/>
    <mergeCell ref="XK10:XP10"/>
    <mergeCell ref="TM10:TR10"/>
    <mergeCell ref="TS10:TX10"/>
    <mergeCell ref="TY10:UD10"/>
    <mergeCell ref="UE10:UJ10"/>
    <mergeCell ref="UK10:UP10"/>
    <mergeCell ref="UQ10:UV10"/>
    <mergeCell ref="UW10:VB10"/>
    <mergeCell ref="VC10:VH10"/>
    <mergeCell ref="VI10:VN10"/>
    <mergeCell ref="RK10:RP10"/>
    <mergeCell ref="RQ10:RV10"/>
    <mergeCell ref="RW10:SB10"/>
    <mergeCell ref="SC10:SH10"/>
    <mergeCell ref="SI10:SN10"/>
    <mergeCell ref="SO10:ST10"/>
    <mergeCell ref="SU10:SZ10"/>
    <mergeCell ref="TA10:TF10"/>
    <mergeCell ref="TG10:TL10"/>
    <mergeCell ref="PI10:PN10"/>
    <mergeCell ref="PO10:PT10"/>
    <mergeCell ref="PU10:PZ10"/>
    <mergeCell ref="QA10:QF10"/>
    <mergeCell ref="QG10:QL10"/>
    <mergeCell ref="QM10:QR10"/>
    <mergeCell ref="QS10:QX10"/>
    <mergeCell ref="QY10:RD10"/>
    <mergeCell ref="RE10:RJ10"/>
    <mergeCell ref="NG10:NL10"/>
    <mergeCell ref="NM10:NR10"/>
    <mergeCell ref="NS10:NX10"/>
    <mergeCell ref="NY10:OD10"/>
    <mergeCell ref="OE10:OJ10"/>
    <mergeCell ref="OK10:OP10"/>
    <mergeCell ref="OQ10:OV10"/>
    <mergeCell ref="OW10:PB10"/>
    <mergeCell ref="PC10:PH10"/>
    <mergeCell ref="LE10:LJ10"/>
    <mergeCell ref="LK10:LP10"/>
    <mergeCell ref="LQ10:LV10"/>
    <mergeCell ref="LW10:MB10"/>
    <mergeCell ref="MC10:MH10"/>
    <mergeCell ref="MI10:MN10"/>
    <mergeCell ref="MO10:MT10"/>
    <mergeCell ref="MU10:MZ10"/>
    <mergeCell ref="NA10:NF10"/>
    <mergeCell ref="JC10:JH10"/>
    <mergeCell ref="JI10:JN10"/>
    <mergeCell ref="JO10:JT10"/>
    <mergeCell ref="JU10:JZ10"/>
    <mergeCell ref="KA10:KF10"/>
    <mergeCell ref="KG10:KL10"/>
    <mergeCell ref="KM10:KR10"/>
    <mergeCell ref="KS10:KX10"/>
    <mergeCell ref="KY10:LD10"/>
    <mergeCell ref="HA10:HF10"/>
    <mergeCell ref="HG10:HL10"/>
    <mergeCell ref="HM10:HR10"/>
    <mergeCell ref="HS10:HX10"/>
    <mergeCell ref="HY10:ID10"/>
    <mergeCell ref="IE10:IJ10"/>
    <mergeCell ref="IK10:IP10"/>
    <mergeCell ref="IQ10:IV10"/>
    <mergeCell ref="IW10:JB10"/>
    <mergeCell ref="EY10:FD10"/>
    <mergeCell ref="FE10:FJ10"/>
    <mergeCell ref="FK10:FP10"/>
    <mergeCell ref="FQ10:FV10"/>
    <mergeCell ref="FW10:GB10"/>
    <mergeCell ref="GC10:GH10"/>
    <mergeCell ref="GI10:GN10"/>
    <mergeCell ref="GO10:GT10"/>
    <mergeCell ref="GU10:GZ10"/>
    <mergeCell ref="CW10:DB10"/>
    <mergeCell ref="DC10:DH10"/>
    <mergeCell ref="DI10:DN10"/>
    <mergeCell ref="DO10:DT10"/>
    <mergeCell ref="DU10:DZ10"/>
    <mergeCell ref="EA10:EF10"/>
    <mergeCell ref="EG10:EL10"/>
    <mergeCell ref="EM10:ER10"/>
    <mergeCell ref="ES10:EX10"/>
    <mergeCell ref="AKO8:AKT8"/>
    <mergeCell ref="AKU8:AKZ8"/>
    <mergeCell ref="ALA8:ALF8"/>
    <mergeCell ref="ALG8:ALL8"/>
    <mergeCell ref="ALM8:ALR8"/>
    <mergeCell ref="ALS8:ALX8"/>
    <mergeCell ref="ALY8:AMD8"/>
    <mergeCell ref="AME8:AMJ8"/>
    <mergeCell ref="E10:J10"/>
    <mergeCell ref="K10:P10"/>
    <mergeCell ref="Q10:V10"/>
    <mergeCell ref="W10:AB10"/>
    <mergeCell ref="AC10:AH10"/>
    <mergeCell ref="AI10:AN10"/>
    <mergeCell ref="AO10:AT10"/>
    <mergeCell ref="AU10:AZ10"/>
    <mergeCell ref="BA10:BF10"/>
    <mergeCell ref="BG10:BL10"/>
    <mergeCell ref="BM10:BR10"/>
    <mergeCell ref="BS10:BX10"/>
    <mergeCell ref="BY10:CD10"/>
    <mergeCell ref="CE10:CJ10"/>
    <mergeCell ref="CK10:CP10"/>
    <mergeCell ref="CQ10:CV10"/>
    <mergeCell ref="AIM8:AIR8"/>
    <mergeCell ref="AIS8:AIX8"/>
    <mergeCell ref="AIY8:AJD8"/>
    <mergeCell ref="AJE8:AJJ8"/>
    <mergeCell ref="AJK8:AJP8"/>
    <mergeCell ref="AJQ8:AJV8"/>
    <mergeCell ref="AJW8:AKB8"/>
    <mergeCell ref="AKC8:AKH8"/>
    <mergeCell ref="AKI8:AKN8"/>
    <mergeCell ref="AGK8:AGP8"/>
    <mergeCell ref="AGQ8:AGV8"/>
    <mergeCell ref="AGW8:AHB8"/>
    <mergeCell ref="AHC8:AHH8"/>
    <mergeCell ref="AHI8:AHN8"/>
    <mergeCell ref="AHO8:AHT8"/>
    <mergeCell ref="AHU8:AHZ8"/>
    <mergeCell ref="AIA8:AIF8"/>
    <mergeCell ref="AIG8:AIL8"/>
    <mergeCell ref="AEI8:AEN8"/>
    <mergeCell ref="AEO8:AET8"/>
    <mergeCell ref="AEU8:AEZ8"/>
    <mergeCell ref="AFA8:AFF8"/>
    <mergeCell ref="AFG8:AFL8"/>
    <mergeCell ref="AFM8:AFR8"/>
    <mergeCell ref="AFS8:AFX8"/>
    <mergeCell ref="AFY8:AGD8"/>
    <mergeCell ref="AGE8:AGJ8"/>
    <mergeCell ref="ACG8:ACL8"/>
    <mergeCell ref="ACM8:ACR8"/>
    <mergeCell ref="ACS8:ACX8"/>
    <mergeCell ref="ACY8:ADD8"/>
    <mergeCell ref="ADE8:ADJ8"/>
    <mergeCell ref="ADK8:ADP8"/>
    <mergeCell ref="ADQ8:ADV8"/>
    <mergeCell ref="ADW8:AEB8"/>
    <mergeCell ref="AEC8:AEH8"/>
    <mergeCell ref="AAE8:AAJ8"/>
    <mergeCell ref="AAK8:AAP8"/>
    <mergeCell ref="AAQ8:AAV8"/>
    <mergeCell ref="AAW8:ABB8"/>
    <mergeCell ref="ABC8:ABH8"/>
    <mergeCell ref="ABI8:ABN8"/>
    <mergeCell ref="ABO8:ABT8"/>
    <mergeCell ref="ABU8:ABZ8"/>
    <mergeCell ref="ACA8:ACF8"/>
    <mergeCell ref="YC8:YH8"/>
    <mergeCell ref="YI8:YN8"/>
    <mergeCell ref="YO8:YT8"/>
    <mergeCell ref="YU8:YZ8"/>
    <mergeCell ref="ZA8:ZF8"/>
    <mergeCell ref="ZG8:ZL8"/>
    <mergeCell ref="ZM8:ZR8"/>
    <mergeCell ref="ZS8:ZX8"/>
    <mergeCell ref="ZY8:AAD8"/>
    <mergeCell ref="WA8:WF8"/>
    <mergeCell ref="WG8:WL8"/>
    <mergeCell ref="WM8:WR8"/>
    <mergeCell ref="WS8:WX8"/>
    <mergeCell ref="WY8:XD8"/>
    <mergeCell ref="XE8:XJ8"/>
    <mergeCell ref="XK8:XP8"/>
    <mergeCell ref="XQ8:XV8"/>
    <mergeCell ref="XW8:YB8"/>
    <mergeCell ref="TY8:UD8"/>
    <mergeCell ref="UE8:UJ8"/>
    <mergeCell ref="UK8:UP8"/>
    <mergeCell ref="UQ8:UV8"/>
    <mergeCell ref="UW8:VB8"/>
    <mergeCell ref="VC8:VH8"/>
    <mergeCell ref="VI8:VN8"/>
    <mergeCell ref="VO8:VT8"/>
    <mergeCell ref="VU8:VZ8"/>
    <mergeCell ref="RW8:SB8"/>
    <mergeCell ref="SC8:SH8"/>
    <mergeCell ref="SI8:SN8"/>
    <mergeCell ref="SO8:ST8"/>
    <mergeCell ref="SU8:SZ8"/>
    <mergeCell ref="TA8:TF8"/>
    <mergeCell ref="TG8:TL8"/>
    <mergeCell ref="TM8:TR8"/>
    <mergeCell ref="TS8:TX8"/>
    <mergeCell ref="PU8:PZ8"/>
    <mergeCell ref="QA8:QF8"/>
    <mergeCell ref="QG8:QL8"/>
    <mergeCell ref="QM8:QR8"/>
    <mergeCell ref="QS8:QX8"/>
    <mergeCell ref="QY8:RD8"/>
    <mergeCell ref="RE8:RJ8"/>
    <mergeCell ref="RK8:RP8"/>
    <mergeCell ref="RQ8:RV8"/>
    <mergeCell ref="NS8:NX8"/>
    <mergeCell ref="NY8:OD8"/>
    <mergeCell ref="OE8:OJ8"/>
    <mergeCell ref="OK8:OP8"/>
    <mergeCell ref="OQ8:OV8"/>
    <mergeCell ref="OW8:PB8"/>
    <mergeCell ref="PC8:PH8"/>
    <mergeCell ref="PI8:PN8"/>
    <mergeCell ref="PO8:PT8"/>
    <mergeCell ref="LQ8:LV8"/>
    <mergeCell ref="LW8:MB8"/>
    <mergeCell ref="MC8:MH8"/>
    <mergeCell ref="MI8:MN8"/>
    <mergeCell ref="MO8:MT8"/>
    <mergeCell ref="MU8:MZ8"/>
    <mergeCell ref="NA8:NF8"/>
    <mergeCell ref="NG8:NL8"/>
    <mergeCell ref="NM8:NR8"/>
    <mergeCell ref="JO8:JT8"/>
    <mergeCell ref="JU8:JZ8"/>
    <mergeCell ref="KA8:KF8"/>
    <mergeCell ref="KG8:KL8"/>
    <mergeCell ref="KM8:KR8"/>
    <mergeCell ref="KS8:KX8"/>
    <mergeCell ref="KY8:LD8"/>
    <mergeCell ref="LE8:LJ8"/>
    <mergeCell ref="LK8:LP8"/>
    <mergeCell ref="HM8:HR8"/>
    <mergeCell ref="HS8:HX8"/>
    <mergeCell ref="HY8:ID8"/>
    <mergeCell ref="IE8:IJ8"/>
    <mergeCell ref="IK8:IP8"/>
    <mergeCell ref="IQ8:IV8"/>
    <mergeCell ref="IW8:JB8"/>
    <mergeCell ref="JC8:JH8"/>
    <mergeCell ref="JI8:JN8"/>
    <mergeCell ref="FK8:FP8"/>
    <mergeCell ref="FQ8:FV8"/>
    <mergeCell ref="FW8:GB8"/>
    <mergeCell ref="GC8:GH8"/>
    <mergeCell ref="GI8:GN8"/>
    <mergeCell ref="GO8:GT8"/>
    <mergeCell ref="GU8:GZ8"/>
    <mergeCell ref="HA8:HF8"/>
    <mergeCell ref="HG8:HL8"/>
    <mergeCell ref="DI8:DN8"/>
    <mergeCell ref="DO8:DT8"/>
    <mergeCell ref="DU8:DZ8"/>
    <mergeCell ref="EA8:EF8"/>
    <mergeCell ref="EG8:EL8"/>
    <mergeCell ref="EM8:ER8"/>
    <mergeCell ref="ES8:EX8"/>
    <mergeCell ref="EY8:FD8"/>
    <mergeCell ref="FE8:FJ8"/>
    <mergeCell ref="BG8:BL8"/>
    <mergeCell ref="BM8:BR8"/>
    <mergeCell ref="BS8:BX8"/>
    <mergeCell ref="BY8:CD8"/>
    <mergeCell ref="CE8:CJ8"/>
    <mergeCell ref="CK8:CP8"/>
    <mergeCell ref="CQ8:CV8"/>
    <mergeCell ref="CW8:DB8"/>
    <mergeCell ref="DC8:DH8"/>
    <mergeCell ref="E8:J8"/>
    <mergeCell ref="K8:P8"/>
    <mergeCell ref="Q8:V8"/>
    <mergeCell ref="W8:AB8"/>
    <mergeCell ref="AC8:AH8"/>
    <mergeCell ref="AI8:AN8"/>
    <mergeCell ref="AO8:AT8"/>
    <mergeCell ref="AU8:AZ8"/>
    <mergeCell ref="BA8:BF8"/>
    <mergeCell ref="AKO4:AKT4"/>
    <mergeCell ref="AKU4:AKZ4"/>
    <mergeCell ref="ALA4:ALF4"/>
    <mergeCell ref="ALG4:ALL4"/>
    <mergeCell ref="ALM4:ALR4"/>
    <mergeCell ref="ALS4:ALX4"/>
    <mergeCell ref="ALY4:AMD4"/>
    <mergeCell ref="AME4:AMJ4"/>
    <mergeCell ref="B5:C5"/>
    <mergeCell ref="AIM4:AIR4"/>
    <mergeCell ref="AIS4:AIX4"/>
    <mergeCell ref="AIY4:AJD4"/>
    <mergeCell ref="AJE4:AJJ4"/>
    <mergeCell ref="AJK4:AJP4"/>
    <mergeCell ref="AJQ4:AJV4"/>
    <mergeCell ref="AJW4:AKB4"/>
    <mergeCell ref="AKC4:AKH4"/>
    <mergeCell ref="AKI4:AKN4"/>
    <mergeCell ref="AGK4:AGP4"/>
    <mergeCell ref="AGQ4:AGV4"/>
    <mergeCell ref="AGW4:AHB4"/>
    <mergeCell ref="AHC4:AHH4"/>
    <mergeCell ref="AHI4:AHN4"/>
    <mergeCell ref="AHO4:AHT4"/>
    <mergeCell ref="AHU4:AHZ4"/>
    <mergeCell ref="AIA4:AIF4"/>
    <mergeCell ref="AIG4:AIL4"/>
    <mergeCell ref="AEI4:AEN4"/>
    <mergeCell ref="AEO4:AET4"/>
    <mergeCell ref="AEU4:AEZ4"/>
    <mergeCell ref="AFA4:AFF4"/>
    <mergeCell ref="AFG4:AFL4"/>
    <mergeCell ref="AFM4:AFR4"/>
    <mergeCell ref="AFS4:AFX4"/>
    <mergeCell ref="AFY4:AGD4"/>
    <mergeCell ref="AGE4:AGJ4"/>
    <mergeCell ref="ACG4:ACL4"/>
    <mergeCell ref="ACM4:ACR4"/>
    <mergeCell ref="ACS4:ACX4"/>
    <mergeCell ref="ACY4:ADD4"/>
    <mergeCell ref="ADE4:ADJ4"/>
    <mergeCell ref="ADK4:ADP4"/>
    <mergeCell ref="ADQ4:ADV4"/>
    <mergeCell ref="ADW4:AEB4"/>
    <mergeCell ref="AEC4:AEH4"/>
    <mergeCell ref="AAE4:AAJ4"/>
    <mergeCell ref="AAK4:AAP4"/>
    <mergeCell ref="AAQ4:AAV4"/>
    <mergeCell ref="AAW4:ABB4"/>
    <mergeCell ref="ABC4:ABH4"/>
    <mergeCell ref="ABI4:ABN4"/>
    <mergeCell ref="ABO4:ABT4"/>
    <mergeCell ref="ABU4:ABZ4"/>
    <mergeCell ref="ACA4:ACF4"/>
    <mergeCell ref="YC4:YH4"/>
    <mergeCell ref="YI4:YN4"/>
    <mergeCell ref="YO4:YT4"/>
    <mergeCell ref="YU4:YZ4"/>
    <mergeCell ref="ZA4:ZF4"/>
    <mergeCell ref="ZG4:ZL4"/>
    <mergeCell ref="ZM4:ZR4"/>
    <mergeCell ref="ZS4:ZX4"/>
    <mergeCell ref="ZY4:AAD4"/>
    <mergeCell ref="WA4:WF4"/>
    <mergeCell ref="WG4:WL4"/>
    <mergeCell ref="WM4:WR4"/>
    <mergeCell ref="WS4:WX4"/>
    <mergeCell ref="WY4:XD4"/>
    <mergeCell ref="XE4:XJ4"/>
    <mergeCell ref="XK4:XP4"/>
    <mergeCell ref="XQ4:XV4"/>
    <mergeCell ref="XW4:YB4"/>
    <mergeCell ref="TY4:UD4"/>
    <mergeCell ref="UE4:UJ4"/>
    <mergeCell ref="UK4:UP4"/>
    <mergeCell ref="UQ4:UV4"/>
    <mergeCell ref="UW4:VB4"/>
    <mergeCell ref="VC4:VH4"/>
    <mergeCell ref="VI4:VN4"/>
    <mergeCell ref="VO4:VT4"/>
    <mergeCell ref="VU4:VZ4"/>
    <mergeCell ref="RW4:SB4"/>
    <mergeCell ref="SC4:SH4"/>
    <mergeCell ref="SI4:SN4"/>
    <mergeCell ref="SO4:ST4"/>
    <mergeCell ref="SU4:SZ4"/>
    <mergeCell ref="TA4:TF4"/>
    <mergeCell ref="TG4:TL4"/>
    <mergeCell ref="TM4:TR4"/>
    <mergeCell ref="TS4:TX4"/>
    <mergeCell ref="PU4:PZ4"/>
    <mergeCell ref="QA4:QF4"/>
    <mergeCell ref="QG4:QL4"/>
    <mergeCell ref="QM4:QR4"/>
    <mergeCell ref="QS4:QX4"/>
    <mergeCell ref="QY4:RD4"/>
    <mergeCell ref="RE4:RJ4"/>
    <mergeCell ref="RK4:RP4"/>
    <mergeCell ref="RQ4:RV4"/>
    <mergeCell ref="NS4:NX4"/>
    <mergeCell ref="NY4:OD4"/>
    <mergeCell ref="OE4:OJ4"/>
    <mergeCell ref="OK4:OP4"/>
    <mergeCell ref="OQ4:OV4"/>
    <mergeCell ref="OW4:PB4"/>
    <mergeCell ref="PC4:PH4"/>
    <mergeCell ref="PI4:PN4"/>
    <mergeCell ref="PO4:PT4"/>
    <mergeCell ref="LQ4:LV4"/>
    <mergeCell ref="LW4:MB4"/>
    <mergeCell ref="MC4:MH4"/>
    <mergeCell ref="MI4:MN4"/>
    <mergeCell ref="MO4:MT4"/>
    <mergeCell ref="MU4:MZ4"/>
    <mergeCell ref="NA4:NF4"/>
    <mergeCell ref="NG4:NL4"/>
    <mergeCell ref="NM4:NR4"/>
    <mergeCell ref="JO4:JT4"/>
    <mergeCell ref="JU4:JZ4"/>
    <mergeCell ref="KA4:KF4"/>
    <mergeCell ref="KG4:KL4"/>
    <mergeCell ref="KM4:KR4"/>
    <mergeCell ref="KS4:KX4"/>
    <mergeCell ref="KY4:LD4"/>
    <mergeCell ref="LE4:LJ4"/>
    <mergeCell ref="LK4:LP4"/>
    <mergeCell ref="HM4:HR4"/>
    <mergeCell ref="HS4:HX4"/>
    <mergeCell ref="HY4:ID4"/>
    <mergeCell ref="IE4:IJ4"/>
    <mergeCell ref="IK4:IP4"/>
    <mergeCell ref="IQ4:IV4"/>
    <mergeCell ref="IW4:JB4"/>
    <mergeCell ref="JC4:JH4"/>
    <mergeCell ref="JI4:JN4"/>
    <mergeCell ref="FK4:FP4"/>
    <mergeCell ref="FQ4:FV4"/>
    <mergeCell ref="FW4:GB4"/>
    <mergeCell ref="GC4:GH4"/>
    <mergeCell ref="GI4:GN4"/>
    <mergeCell ref="GO4:GT4"/>
    <mergeCell ref="GU4:GZ4"/>
    <mergeCell ref="HA4:HF4"/>
    <mergeCell ref="HG4:HL4"/>
    <mergeCell ref="DI4:DN4"/>
    <mergeCell ref="DO4:DT4"/>
    <mergeCell ref="DU4:DZ4"/>
    <mergeCell ref="EA4:EF4"/>
    <mergeCell ref="EG4:EL4"/>
    <mergeCell ref="EM4:ER4"/>
    <mergeCell ref="ES4:EX4"/>
    <mergeCell ref="EY4:FD4"/>
    <mergeCell ref="FE4:FJ4"/>
    <mergeCell ref="BG4:BL4"/>
    <mergeCell ref="BM4:BR4"/>
    <mergeCell ref="BS4:BX4"/>
    <mergeCell ref="BY4:CD4"/>
    <mergeCell ref="CE4:CJ4"/>
    <mergeCell ref="CK4:CP4"/>
    <mergeCell ref="CQ4:CV4"/>
    <mergeCell ref="CW4:DB4"/>
    <mergeCell ref="DC4:DH4"/>
    <mergeCell ref="E4:J4"/>
    <mergeCell ref="K4:P4"/>
    <mergeCell ref="Q4:V4"/>
    <mergeCell ref="W4:AB4"/>
    <mergeCell ref="AC4:AH4"/>
    <mergeCell ref="AI4:AN4"/>
    <mergeCell ref="AO4:AT4"/>
    <mergeCell ref="AU4:AZ4"/>
    <mergeCell ref="BA4:BF4"/>
  </mergeCells>
  <hyperlinks>
    <hyperlink ref="C1" location="BG!A1" display="BG" xr:uid="{00000000-0004-0000-0F00-000000000000}"/>
  </hyperlinks>
  <pageMargins left="0.7" right="0.7" top="0.75" bottom="0.75" header="0.511811023622047" footer="0.511811023622047"/>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8"/>
  <sheetViews>
    <sheetView zoomScaleNormal="100" workbookViewId="0">
      <selection activeCell="C7" activeCellId="1" sqref="A166:A259 C7"/>
    </sheetView>
  </sheetViews>
  <sheetFormatPr baseColWidth="10" defaultColWidth="10.54296875" defaultRowHeight="14.5"/>
  <cols>
    <col min="1" max="1" width="44" style="162" customWidth="1"/>
    <col min="2" max="3" width="22.81640625" style="162" customWidth="1"/>
    <col min="4" max="19" width="11.453125" style="162" customWidth="1"/>
  </cols>
  <sheetData>
    <row r="1" spans="1:6" ht="25">
      <c r="A1" s="416" t="str">
        <f>Indice!C1</f>
        <v>KUROSU &amp; CIA. S.A.</v>
      </c>
      <c r="F1" s="298" t="s">
        <v>23</v>
      </c>
    </row>
    <row r="4" spans="1:6">
      <c r="A4" s="769" t="s">
        <v>504</v>
      </c>
      <c r="B4" s="769"/>
      <c r="C4" s="769"/>
      <c r="D4" s="769"/>
    </row>
    <row r="5" spans="1:6">
      <c r="B5" s="765" t="s">
        <v>378</v>
      </c>
      <c r="C5" s="765"/>
    </row>
    <row r="6" spans="1:6">
      <c r="A6" s="417" t="s">
        <v>41</v>
      </c>
      <c r="B6" s="366">
        <f>IFERROR(IF(Indice!B8="","2XX2",YEAR(Indice!B8)),"2XX2")</f>
        <v>2025</v>
      </c>
      <c r="C6" s="366">
        <f>IFERROR(YEAR(Indice!B8-365),"2XX1")</f>
        <v>2024</v>
      </c>
      <c r="D6" s="418"/>
    </row>
    <row r="7" spans="1:6" ht="13.5" customHeight="1">
      <c r="A7" s="419"/>
      <c r="B7" s="420">
        <v>0</v>
      </c>
      <c r="C7" s="420">
        <v>0</v>
      </c>
      <c r="D7" s="419"/>
    </row>
    <row r="8" spans="1:6" ht="13.5" customHeight="1">
      <c r="A8" s="391" t="s">
        <v>503</v>
      </c>
      <c r="B8" s="421">
        <f>SUM(B7:B7)</f>
        <v>0</v>
      </c>
      <c r="C8" s="421">
        <f>SUM(C7:C7)</f>
        <v>0</v>
      </c>
    </row>
  </sheetData>
  <mergeCells count="2">
    <mergeCell ref="A4:D4"/>
    <mergeCell ref="B5:C5"/>
  </mergeCells>
  <hyperlinks>
    <hyperlink ref="F1" location="BG!A1" display="BG" xr:uid="{00000000-0004-0000-1000-000000000000}"/>
  </hyperlinks>
  <pageMargins left="0.7" right="0.7" top="0.75" bottom="0.75" header="0.511811023622047" footer="0.511811023622047"/>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MJ9"/>
  <sheetViews>
    <sheetView zoomScaleNormal="100" workbookViewId="0">
      <selection activeCell="C8" activeCellId="1" sqref="A166:A259 C8"/>
    </sheetView>
  </sheetViews>
  <sheetFormatPr baseColWidth="10" defaultColWidth="10.54296875" defaultRowHeight="14.5"/>
  <cols>
    <col min="1" max="1" width="24.81640625" style="162" customWidth="1"/>
    <col min="2" max="3" width="17.1796875" style="162" customWidth="1"/>
    <col min="4" max="13" width="11.453125" style="162" customWidth="1"/>
    <col min="14" max="1024" width="10.54296875" style="162"/>
  </cols>
  <sheetData>
    <row r="1" spans="1:5" ht="26">
      <c r="A1" s="422" t="str">
        <f>Indice!C1</f>
        <v>KUROSU &amp; CIA. S.A.</v>
      </c>
      <c r="B1" s="423"/>
      <c r="E1" s="298" t="s">
        <v>23</v>
      </c>
    </row>
    <row r="5" spans="1:5">
      <c r="A5" s="212" t="s">
        <v>505</v>
      </c>
      <c r="B5" s="212"/>
      <c r="C5" s="212"/>
      <c r="D5" s="212"/>
    </row>
    <row r="6" spans="1:5">
      <c r="B6" s="765" t="s">
        <v>378</v>
      </c>
      <c r="C6" s="765"/>
    </row>
    <row r="7" spans="1:5">
      <c r="A7" s="424" t="s">
        <v>43</v>
      </c>
      <c r="B7" s="366">
        <f>IFERROR(IF(Indice!B8="","2XX2",YEAR(Indice!B8)),"2XX2")</f>
        <v>2025</v>
      </c>
      <c r="C7" s="366">
        <f>IFERROR(YEAR(Indice!B8-365),"2XX1")</f>
        <v>2024</v>
      </c>
      <c r="D7" s="418"/>
    </row>
    <row r="8" spans="1:5">
      <c r="A8" s="425"/>
      <c r="B8" s="426">
        <v>0</v>
      </c>
      <c r="C8" s="426">
        <v>0</v>
      </c>
      <c r="D8" s="419"/>
    </row>
    <row r="9" spans="1:5">
      <c r="A9" s="391" t="s">
        <v>503</v>
      </c>
      <c r="B9" s="427">
        <f>SUM(B8:B8)</f>
        <v>0</v>
      </c>
      <c r="C9" s="427">
        <f>SUM(C8:C8)</f>
        <v>0</v>
      </c>
    </row>
  </sheetData>
  <mergeCells count="1">
    <mergeCell ref="B6:C6"/>
  </mergeCells>
  <hyperlinks>
    <hyperlink ref="E1" location="BG!A1" display="BG" xr:uid="{00000000-0004-0000-1100-000000000000}"/>
  </hyperlinks>
  <pageMargins left="0.7" right="0.7" top="0.75" bottom="0.75" header="0.511811023622047" footer="0.511811023622047"/>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21"/>
  <sheetViews>
    <sheetView showGridLines="0" zoomScaleNormal="100" workbookViewId="0">
      <selection activeCell="C1" sqref="C1"/>
    </sheetView>
  </sheetViews>
  <sheetFormatPr baseColWidth="10" defaultColWidth="11.453125" defaultRowHeight="14.5"/>
  <cols>
    <col min="1" max="1" width="38.54296875" customWidth="1"/>
    <col min="2" max="2" width="34.1796875" customWidth="1"/>
    <col min="3" max="3" width="34.453125" customWidth="1"/>
    <col min="4" max="4" width="18.453125" customWidth="1"/>
    <col min="5" max="5" width="18.81640625" customWidth="1"/>
    <col min="7" max="7" width="16.453125" customWidth="1"/>
    <col min="8" max="8" width="13.453125" customWidth="1"/>
    <col min="9" max="9" width="13.1796875" customWidth="1"/>
  </cols>
  <sheetData>
    <row r="1" spans="1:5" ht="26">
      <c r="A1" s="428" t="str">
        <f>Indice!C1</f>
        <v>KUROSU &amp; CIA. S.A.</v>
      </c>
      <c r="B1" s="211"/>
      <c r="C1" s="429" t="s">
        <v>23</v>
      </c>
    </row>
    <row r="4" spans="1:5">
      <c r="A4" s="212" t="s">
        <v>506</v>
      </c>
      <c r="B4" s="212"/>
      <c r="C4" s="212"/>
      <c r="D4" s="212"/>
      <c r="E4" s="212"/>
    </row>
    <row r="5" spans="1:5" ht="15.5">
      <c r="A5" s="430" t="s">
        <v>378</v>
      </c>
    </row>
    <row r="6" spans="1:5">
      <c r="A6" s="5" t="s">
        <v>507</v>
      </c>
      <c r="B6" s="5"/>
      <c r="C6" s="5"/>
      <c r="D6" s="5"/>
    </row>
    <row r="7" spans="1:5">
      <c r="E7" s="350"/>
    </row>
    <row r="8" spans="1:5">
      <c r="A8" s="133" t="s">
        <v>429</v>
      </c>
      <c r="B8" s="353" t="s">
        <v>336</v>
      </c>
      <c r="C8" s="353" t="s">
        <v>508</v>
      </c>
      <c r="D8" s="366">
        <f>IFERROR(IF(Indice!B8="","2XX2",YEAR(Indice!B8)),"2XX2")</f>
        <v>2025</v>
      </c>
      <c r="E8" s="431">
        <f>IFERROR(YEAR(Indice!B8-365),"2XX1")</f>
        <v>2024</v>
      </c>
    </row>
    <row r="9" spans="1:5">
      <c r="A9" t="s">
        <v>509</v>
      </c>
      <c r="B9" s="432" t="s">
        <v>510</v>
      </c>
      <c r="C9" s="433" t="str">
        <f>IFERROR(VLOOKUP(B9,'Base de Monedas'!A:B,2,0),"")</f>
        <v>Dólar estadounidense</v>
      </c>
      <c r="D9" s="359">
        <v>88471441801</v>
      </c>
      <c r="E9" s="420">
        <v>55696206005</v>
      </c>
    </row>
    <row r="10" spans="1:5" ht="13.5" customHeight="1">
      <c r="A10" t="s">
        <v>509</v>
      </c>
      <c r="B10" s="432" t="s">
        <v>511</v>
      </c>
      <c r="C10" s="433" t="str">
        <f>IFERROR(VLOOKUP(B10,'Base de Monedas'!A:B,2,0),"")</f>
        <v>Euro</v>
      </c>
      <c r="D10" s="359">
        <v>0</v>
      </c>
      <c r="E10" s="420">
        <v>6163635</v>
      </c>
    </row>
    <row r="11" spans="1:5">
      <c r="A11" t="s">
        <v>512</v>
      </c>
      <c r="B11" s="432" t="s">
        <v>513</v>
      </c>
      <c r="C11" s="433" t="str">
        <f>IFERROR(VLOOKUP(B11,'Base de Monedas'!A:B,2,0),"")</f>
        <v>Guaraní</v>
      </c>
      <c r="D11" s="359">
        <f>1177724017+160205919</f>
        <v>1337929936</v>
      </c>
      <c r="E11" s="420">
        <v>1189206005</v>
      </c>
    </row>
    <row r="12" spans="1:5">
      <c r="A12" t="s">
        <v>512</v>
      </c>
      <c r="B12" s="432" t="s">
        <v>510</v>
      </c>
      <c r="C12" s="433" t="str">
        <f>IFERROR(VLOOKUP(B12,'Base de Monedas'!A:B,2,0),"")</f>
        <v>Dólar estadounidense</v>
      </c>
      <c r="D12" s="359">
        <f>1935566789-1213568+108875892</f>
        <v>2043229113</v>
      </c>
      <c r="E12" s="420">
        <v>2760064875</v>
      </c>
    </row>
    <row r="13" spans="1:5">
      <c r="A13" t="s">
        <v>514</v>
      </c>
      <c r="B13" s="432" t="s">
        <v>510</v>
      </c>
      <c r="C13" s="433" t="str">
        <f>IFERROR(VLOOKUP(B13,'Base de Monedas'!A:B,2,0),"")</f>
        <v>Dólar estadounidense</v>
      </c>
      <c r="D13" s="359">
        <v>60407736172</v>
      </c>
      <c r="E13" s="420">
        <v>53048968881</v>
      </c>
    </row>
    <row r="14" spans="1:5">
      <c r="A14" t="s">
        <v>514</v>
      </c>
      <c r="B14" s="432" t="s">
        <v>511</v>
      </c>
      <c r="C14" s="433" t="str">
        <f>IFERROR(VLOOKUP(B14,'Base de Monedas'!A:B,2,0),"")</f>
        <v>Euro</v>
      </c>
      <c r="D14" s="434">
        <v>0</v>
      </c>
      <c r="E14" s="434">
        <v>0</v>
      </c>
    </row>
    <row r="15" spans="1:5">
      <c r="A15" s="302" t="s">
        <v>515</v>
      </c>
      <c r="B15" s="302"/>
      <c r="C15" s="435"/>
      <c r="D15" s="436">
        <f>SUM(D9:D14)</f>
        <v>152260337022</v>
      </c>
      <c r="E15" s="436">
        <f>SUM(E9:E14)</f>
        <v>112700609401</v>
      </c>
    </row>
    <row r="19" spans="1:5">
      <c r="A19" s="133" t="s">
        <v>516</v>
      </c>
      <c r="B19" s="353" t="s">
        <v>336</v>
      </c>
      <c r="C19" s="353" t="s">
        <v>508</v>
      </c>
      <c r="D19" s="431">
        <f>IFERROR(YEAR(Indice!B8),"2XX2")</f>
        <v>2025</v>
      </c>
      <c r="E19" s="431">
        <f>IFERROR(YEAR(Indice!B8-365),"2XX1")</f>
        <v>2024</v>
      </c>
    </row>
    <row r="20" spans="1:5">
      <c r="A20" t="s">
        <v>512</v>
      </c>
      <c r="B20" s="432" t="s">
        <v>510</v>
      </c>
      <c r="C20" s="433" t="str">
        <f>IFERROR(VLOOKUP(B20,'Base de Monedas'!A:B,2,0),"")</f>
        <v>Dólar estadounidense</v>
      </c>
      <c r="D20" s="437">
        <v>0</v>
      </c>
      <c r="E20" s="434">
        <v>0</v>
      </c>
    </row>
    <row r="21" spans="1:5">
      <c r="A21" s="302" t="s">
        <v>515</v>
      </c>
      <c r="B21" s="302"/>
      <c r="C21" s="435"/>
      <c r="D21" s="438">
        <f>SUM(D20)</f>
        <v>0</v>
      </c>
      <c r="E21" s="436">
        <f>SUM(E20)</f>
        <v>0</v>
      </c>
    </row>
  </sheetData>
  <hyperlinks>
    <hyperlink ref="C1" location="BG!A1" display="BG" xr:uid="{00000000-0004-0000-1200-000000000000}"/>
  </hyperlinks>
  <printOptions horizontalCentered="1"/>
  <pageMargins left="0.70833333333333304" right="0.70833333333333304" top="0.74791666666666701" bottom="0.74791666666666701" header="0.511811023622047" footer="0.511811023622047"/>
  <pageSetup paperSize="5" scale="75"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MI87"/>
  <sheetViews>
    <sheetView showGridLines="0" topLeftCell="A72" zoomScaleNormal="100" workbookViewId="0">
      <selection activeCell="C88" sqref="C88"/>
    </sheetView>
  </sheetViews>
  <sheetFormatPr baseColWidth="10" defaultColWidth="11.453125" defaultRowHeight="14.5"/>
  <cols>
    <col min="1" max="1" width="19.36328125" style="5" customWidth="1"/>
    <col min="2" max="2" width="65.81640625" style="5" customWidth="1"/>
    <col min="3" max="3" width="74.26953125" style="5" customWidth="1"/>
    <col min="4" max="4" width="26.36328125" style="30" customWidth="1"/>
    <col min="5" max="5" width="20.54296875" style="5" customWidth="1"/>
    <col min="6" max="6" width="25.453125" style="5" customWidth="1"/>
    <col min="7" max="7" width="17.54296875" style="5" customWidth="1"/>
    <col min="8" max="8" width="29.1796875" style="5" customWidth="1"/>
    <col min="9" max="1023" width="11.453125" style="5"/>
  </cols>
  <sheetData>
    <row r="2" spans="1:3" ht="33" customHeight="1">
      <c r="B2" s="31" t="s">
        <v>0</v>
      </c>
      <c r="C2" s="32" t="s">
        <v>1</v>
      </c>
    </row>
    <row r="4" spans="1:3">
      <c r="C4" s="33" t="s">
        <v>116</v>
      </c>
    </row>
    <row r="14" spans="1:3">
      <c r="A14" s="10" t="s">
        <v>6</v>
      </c>
      <c r="B14" s="34">
        <v>45747</v>
      </c>
    </row>
    <row r="17" spans="2:3" ht="16.5" customHeight="1">
      <c r="B17" s="35" t="s">
        <v>117</v>
      </c>
      <c r="C17" s="23"/>
    </row>
    <row r="18" spans="2:3" ht="19.5" customHeight="1">
      <c r="B18" s="36" t="s">
        <v>118</v>
      </c>
      <c r="C18" s="37">
        <v>45747</v>
      </c>
    </row>
    <row r="19" spans="2:3">
      <c r="B19" s="23"/>
      <c r="C19" s="23"/>
    </row>
    <row r="20" spans="2:3">
      <c r="B20" s="38" t="s">
        <v>119</v>
      </c>
      <c r="C20" s="39"/>
    </row>
    <row r="21" spans="2:3">
      <c r="B21" s="38" t="s">
        <v>120</v>
      </c>
      <c r="C21" s="40" t="s">
        <v>1</v>
      </c>
    </row>
    <row r="22" spans="2:3">
      <c r="B22" s="38" t="s">
        <v>121</v>
      </c>
      <c r="C22" s="38"/>
    </row>
    <row r="23" spans="2:3" ht="57.75" customHeight="1">
      <c r="B23" s="704" t="s">
        <v>122</v>
      </c>
      <c r="C23" s="704"/>
    </row>
    <row r="24" spans="2:3" ht="48" customHeight="1">
      <c r="B24" s="705" t="s">
        <v>123</v>
      </c>
      <c r="C24" s="705"/>
    </row>
    <row r="25" spans="2:3" ht="44.25" customHeight="1">
      <c r="B25" s="705" t="s">
        <v>124</v>
      </c>
      <c r="C25" s="705"/>
    </row>
    <row r="26" spans="2:3" ht="54" customHeight="1">
      <c r="B26" s="705" t="s">
        <v>125</v>
      </c>
      <c r="C26" s="705"/>
    </row>
    <row r="27" spans="2:3" ht="45" customHeight="1">
      <c r="B27" s="705" t="s">
        <v>126</v>
      </c>
      <c r="C27" s="705"/>
    </row>
    <row r="28" spans="2:3" ht="45" customHeight="1">
      <c r="B28" s="705" t="s">
        <v>127</v>
      </c>
      <c r="C28" s="705"/>
    </row>
    <row r="29" spans="2:3" ht="67.5" customHeight="1">
      <c r="B29" s="706" t="s">
        <v>128</v>
      </c>
      <c r="C29" s="706"/>
    </row>
    <row r="30" spans="2:3" ht="45.75" customHeight="1">
      <c r="B30" s="706" t="s">
        <v>129</v>
      </c>
      <c r="C30" s="706"/>
    </row>
    <row r="31" spans="2:3" ht="44.25" customHeight="1">
      <c r="B31" s="707" t="s">
        <v>130</v>
      </c>
      <c r="C31" s="707"/>
    </row>
    <row r="32" spans="2:3" ht="44.25" customHeight="1">
      <c r="B32" s="705" t="s">
        <v>131</v>
      </c>
      <c r="C32" s="705"/>
    </row>
    <row r="33" spans="2:3" ht="45" customHeight="1">
      <c r="B33" s="705" t="s">
        <v>132</v>
      </c>
      <c r="C33" s="705"/>
    </row>
    <row r="34" spans="2:3" ht="41.25" customHeight="1">
      <c r="B34" s="705" t="s">
        <v>133</v>
      </c>
      <c r="C34" s="705"/>
    </row>
    <row r="35" spans="2:3" ht="41.25" customHeight="1">
      <c r="B35" s="705" t="s">
        <v>134</v>
      </c>
      <c r="C35" s="705"/>
    </row>
    <row r="36" spans="2:3" ht="41.25" customHeight="1">
      <c r="B36" s="705" t="s">
        <v>135</v>
      </c>
      <c r="C36" s="705"/>
    </row>
    <row r="37" spans="2:3">
      <c r="B37" s="38" t="s">
        <v>136</v>
      </c>
      <c r="C37" s="38" t="s">
        <v>137</v>
      </c>
    </row>
    <row r="38" spans="2:3">
      <c r="B38" s="38" t="s">
        <v>138</v>
      </c>
      <c r="C38" s="41" t="s">
        <v>139</v>
      </c>
    </row>
    <row r="39" spans="2:3">
      <c r="B39" s="42"/>
      <c r="C39" s="43" t="s">
        <v>140</v>
      </c>
    </row>
    <row r="40" spans="2:3" ht="12.75" customHeight="1">
      <c r="B40" s="711" t="s">
        <v>141</v>
      </c>
      <c r="C40" s="43" t="s">
        <v>142</v>
      </c>
    </row>
    <row r="41" spans="2:3">
      <c r="B41" s="711"/>
      <c r="C41" s="43" t="s">
        <v>143</v>
      </c>
    </row>
    <row r="42" spans="2:3">
      <c r="B42" s="711"/>
      <c r="C42" s="43" t="s">
        <v>144</v>
      </c>
    </row>
    <row r="43" spans="2:3">
      <c r="B43" s="2" t="s">
        <v>145</v>
      </c>
      <c r="C43" s="41" t="s">
        <v>146</v>
      </c>
    </row>
    <row r="44" spans="2:3">
      <c r="B44" s="38" t="s">
        <v>147</v>
      </c>
      <c r="C44" s="41" t="s">
        <v>148</v>
      </c>
    </row>
    <row r="45" spans="2:3">
      <c r="B45" s="38" t="s">
        <v>149</v>
      </c>
      <c r="C45" s="41" t="s">
        <v>150</v>
      </c>
    </row>
    <row r="46" spans="2:3">
      <c r="B46" s="38" t="s">
        <v>151</v>
      </c>
      <c r="C46" s="41" t="s">
        <v>152</v>
      </c>
    </row>
    <row r="47" spans="2:3">
      <c r="B47" s="38" t="s">
        <v>153</v>
      </c>
      <c r="C47" s="41" t="s">
        <v>154</v>
      </c>
    </row>
    <row r="49" spans="2:6">
      <c r="B49" s="35" t="s">
        <v>155</v>
      </c>
      <c r="C49" s="23"/>
      <c r="D49" s="44"/>
      <c r="E49" s="23"/>
      <c r="F49" s="23"/>
    </row>
    <row r="50" spans="2:6">
      <c r="B50" s="38" t="s">
        <v>156</v>
      </c>
      <c r="C50" s="45" t="s">
        <v>157</v>
      </c>
      <c r="D50" s="45" t="s">
        <v>158</v>
      </c>
      <c r="E50" s="23"/>
      <c r="F50" s="23"/>
    </row>
    <row r="51" spans="2:6" ht="12.75" customHeight="1">
      <c r="B51" s="708" t="s">
        <v>159</v>
      </c>
      <c r="C51" s="41" t="s">
        <v>160</v>
      </c>
      <c r="D51" s="46" t="s">
        <v>161</v>
      </c>
      <c r="E51" s="23"/>
      <c r="F51" s="23"/>
    </row>
    <row r="52" spans="2:6">
      <c r="B52" s="708"/>
      <c r="C52" s="41" t="s">
        <v>162</v>
      </c>
      <c r="D52" s="46" t="s">
        <v>163</v>
      </c>
      <c r="E52" s="23"/>
      <c r="F52" s="23"/>
    </row>
    <row r="53" spans="2:6">
      <c r="B53" s="708"/>
      <c r="C53" s="41" t="s">
        <v>164</v>
      </c>
      <c r="D53" s="46" t="s">
        <v>165</v>
      </c>
      <c r="E53" s="23"/>
      <c r="F53" s="23"/>
    </row>
    <row r="54" spans="2:6">
      <c r="B54" s="38" t="s">
        <v>166</v>
      </c>
      <c r="C54" s="41" t="s">
        <v>164</v>
      </c>
      <c r="D54" s="46" t="s">
        <v>165</v>
      </c>
      <c r="E54" s="23"/>
      <c r="F54" s="23"/>
    </row>
    <row r="55" spans="2:6">
      <c r="B55" s="38" t="s">
        <v>167</v>
      </c>
      <c r="C55" s="41" t="s">
        <v>160</v>
      </c>
      <c r="D55" s="46" t="s">
        <v>161</v>
      </c>
      <c r="E55" s="23"/>
      <c r="F55" s="23"/>
    </row>
    <row r="56" spans="2:6">
      <c r="B56" s="38" t="s">
        <v>168</v>
      </c>
      <c r="C56" s="41" t="s">
        <v>162</v>
      </c>
      <c r="D56" s="46" t="s">
        <v>163</v>
      </c>
      <c r="E56" s="23"/>
      <c r="F56" s="23"/>
    </row>
    <row r="57" spans="2:6">
      <c r="B57" s="38" t="s">
        <v>168</v>
      </c>
      <c r="C57" s="41" t="s">
        <v>169</v>
      </c>
      <c r="D57" s="46" t="s">
        <v>170</v>
      </c>
      <c r="E57" s="23"/>
      <c r="F57" s="23"/>
    </row>
    <row r="58" spans="2:6">
      <c r="B58" s="38" t="s">
        <v>168</v>
      </c>
      <c r="C58" s="41" t="s">
        <v>171</v>
      </c>
      <c r="D58" s="46" t="s">
        <v>172</v>
      </c>
      <c r="E58" s="23"/>
      <c r="F58" s="23"/>
    </row>
    <row r="59" spans="2:6">
      <c r="B59" s="38" t="s">
        <v>173</v>
      </c>
      <c r="C59" s="41" t="s">
        <v>174</v>
      </c>
      <c r="D59" s="46" t="s">
        <v>175</v>
      </c>
      <c r="E59" s="23"/>
      <c r="F59" s="23"/>
    </row>
    <row r="60" spans="2:6">
      <c r="B60" s="38" t="s">
        <v>176</v>
      </c>
      <c r="C60" s="41" t="s">
        <v>177</v>
      </c>
      <c r="D60" s="46" t="s">
        <v>178</v>
      </c>
      <c r="E60" s="23"/>
      <c r="F60" s="23"/>
    </row>
    <row r="61" spans="2:6">
      <c r="B61" s="23"/>
      <c r="C61" s="23"/>
      <c r="D61" s="44"/>
      <c r="E61" s="23"/>
      <c r="F61" s="23"/>
    </row>
    <row r="62" spans="2:6">
      <c r="B62" s="35" t="s">
        <v>179</v>
      </c>
      <c r="C62" s="23"/>
      <c r="D62" s="44"/>
      <c r="E62" s="23"/>
      <c r="F62" s="23"/>
    </row>
    <row r="63" spans="2:6">
      <c r="B63" s="45" t="s">
        <v>180</v>
      </c>
      <c r="C63" s="45" t="s">
        <v>181</v>
      </c>
      <c r="D63" s="45" t="s">
        <v>182</v>
      </c>
      <c r="E63" s="45" t="s">
        <v>183</v>
      </c>
      <c r="F63" s="38" t="s">
        <v>184</v>
      </c>
    </row>
    <row r="64" spans="2:6">
      <c r="B64" s="47">
        <v>500000000000</v>
      </c>
      <c r="C64" s="47">
        <v>500000000000</v>
      </c>
      <c r="D64" s="47">
        <v>500000000000</v>
      </c>
      <c r="E64" s="47">
        <v>500000000000</v>
      </c>
      <c r="F64" s="47">
        <v>10000000</v>
      </c>
    </row>
    <row r="66" spans="1:8">
      <c r="A66" s="6"/>
      <c r="B66" s="35" t="s">
        <v>185</v>
      </c>
      <c r="C66" s="23"/>
      <c r="D66" s="44"/>
      <c r="E66" s="23"/>
      <c r="F66" s="23"/>
      <c r="G66" s="23"/>
      <c r="H66" s="23"/>
    </row>
    <row r="67" spans="1:8">
      <c r="A67" s="6"/>
      <c r="B67" s="36" t="s">
        <v>186</v>
      </c>
      <c r="C67" s="45" t="s">
        <v>187</v>
      </c>
      <c r="D67" s="45" t="s">
        <v>188</v>
      </c>
      <c r="E67" s="45" t="s">
        <v>189</v>
      </c>
      <c r="F67" s="45" t="s">
        <v>190</v>
      </c>
      <c r="G67" s="45" t="s">
        <v>191</v>
      </c>
      <c r="H67" s="38" t="s">
        <v>192</v>
      </c>
    </row>
    <row r="68" spans="1:8">
      <c r="A68" s="6"/>
      <c r="B68" s="41"/>
      <c r="C68" s="41"/>
      <c r="D68" s="48"/>
      <c r="E68" s="48"/>
      <c r="F68" s="48"/>
      <c r="G68" s="41"/>
      <c r="H68" s="41"/>
    </row>
    <row r="69" spans="1:8">
      <c r="A69" s="6"/>
      <c r="B69" s="709">
        <v>1</v>
      </c>
      <c r="C69" s="710" t="s">
        <v>193</v>
      </c>
      <c r="D69" s="47">
        <v>10000</v>
      </c>
      <c r="E69" s="48" t="s">
        <v>194</v>
      </c>
      <c r="F69" s="48">
        <v>5</v>
      </c>
      <c r="G69" s="49">
        <f>D69*10000000</f>
        <v>100000000000</v>
      </c>
      <c r="H69" s="50">
        <v>0.2</v>
      </c>
    </row>
    <row r="70" spans="1:8">
      <c r="A70" s="6"/>
      <c r="B70" s="709"/>
      <c r="C70" s="710"/>
      <c r="D70" s="47">
        <v>31343</v>
      </c>
      <c r="E70" s="48" t="s">
        <v>195</v>
      </c>
      <c r="F70" s="48">
        <v>1</v>
      </c>
      <c r="G70" s="49">
        <f>D70*10000000</f>
        <v>313430000000</v>
      </c>
      <c r="H70" s="50">
        <f>G70/D64</f>
        <v>0.62685999999999997</v>
      </c>
    </row>
    <row r="71" spans="1:8">
      <c r="A71" s="6"/>
      <c r="B71" s="51"/>
      <c r="C71" s="40" t="s">
        <v>196</v>
      </c>
      <c r="D71" s="47"/>
      <c r="E71" s="48"/>
      <c r="F71" s="48"/>
      <c r="G71" s="52">
        <f>SUM(G69:G70)</f>
        <v>413430000000</v>
      </c>
      <c r="H71" s="53">
        <f>SUM(H69:H70)</f>
        <v>0.82685999999999993</v>
      </c>
    </row>
    <row r="72" spans="1:8">
      <c r="A72" s="6"/>
      <c r="B72" s="39">
        <v>2</v>
      </c>
      <c r="C72" s="51" t="s">
        <v>197</v>
      </c>
      <c r="D72" s="47">
        <v>6753</v>
      </c>
      <c r="E72" s="48" t="s">
        <v>195</v>
      </c>
      <c r="F72" s="48">
        <v>1</v>
      </c>
      <c r="G72" s="49">
        <v>67530000000</v>
      </c>
      <c r="H72" s="50">
        <f>G72/D64</f>
        <v>0.13506000000000001</v>
      </c>
    </row>
    <row r="73" spans="1:8">
      <c r="A73" s="6"/>
      <c r="B73" s="41"/>
      <c r="C73" s="40" t="s">
        <v>196</v>
      </c>
      <c r="D73" s="48"/>
      <c r="E73" s="48"/>
      <c r="F73" s="48"/>
      <c r="G73" s="52">
        <f>G72</f>
        <v>67530000000</v>
      </c>
      <c r="H73" s="50">
        <f>G73/D64</f>
        <v>0.13506000000000001</v>
      </c>
    </row>
    <row r="74" spans="1:8">
      <c r="A74" s="6"/>
      <c r="B74" s="23"/>
      <c r="C74" s="54"/>
      <c r="D74" s="44"/>
      <c r="E74" s="44"/>
      <c r="F74" s="44"/>
      <c r="G74" s="55"/>
      <c r="H74" s="56"/>
    </row>
    <row r="75" spans="1:8">
      <c r="B75" s="38" t="s">
        <v>198</v>
      </c>
      <c r="C75" s="41"/>
    </row>
    <row r="76" spans="1:8">
      <c r="B76" s="38" t="s">
        <v>199</v>
      </c>
      <c r="C76" s="36">
        <v>0</v>
      </c>
      <c r="G76" s="57"/>
    </row>
    <row r="77" spans="1:8">
      <c r="B77" s="38" t="s">
        <v>200</v>
      </c>
      <c r="C77" s="36">
        <v>0</v>
      </c>
      <c r="G77" s="57"/>
    </row>
    <row r="78" spans="1:8">
      <c r="B78" s="23" t="s">
        <v>201</v>
      </c>
      <c r="C78" s="23"/>
    </row>
    <row r="80" spans="1:8">
      <c r="B80" s="40" t="s">
        <v>202</v>
      </c>
      <c r="C80" s="58" t="s">
        <v>203</v>
      </c>
    </row>
    <row r="82" spans="2:4">
      <c r="B82" s="5" t="s">
        <v>204</v>
      </c>
    </row>
    <row r="84" spans="2:4">
      <c r="B84" s="58" t="s">
        <v>205</v>
      </c>
      <c r="C84" s="59" t="s">
        <v>206</v>
      </c>
      <c r="D84" s="59" t="s">
        <v>207</v>
      </c>
    </row>
    <row r="85" spans="2:4">
      <c r="B85" s="51" t="s">
        <v>208</v>
      </c>
      <c r="C85" s="51">
        <v>499</v>
      </c>
      <c r="D85" s="60">
        <v>479</v>
      </c>
    </row>
    <row r="87" spans="2:4">
      <c r="B87" s="5" t="s">
        <v>201</v>
      </c>
    </row>
  </sheetData>
  <mergeCells count="18">
    <mergeCell ref="B51:B53"/>
    <mergeCell ref="B69:B70"/>
    <mergeCell ref="C69:C70"/>
    <mergeCell ref="B33:C33"/>
    <mergeCell ref="B34:C34"/>
    <mergeCell ref="B35:C35"/>
    <mergeCell ref="B36:C36"/>
    <mergeCell ref="B40:B42"/>
    <mergeCell ref="B28:C28"/>
    <mergeCell ref="B29:C29"/>
    <mergeCell ref="B30:C30"/>
    <mergeCell ref="B31:C31"/>
    <mergeCell ref="B32:C32"/>
    <mergeCell ref="B23:C23"/>
    <mergeCell ref="B24:C24"/>
    <mergeCell ref="B25:C25"/>
    <mergeCell ref="B26:C26"/>
    <mergeCell ref="B27:C27"/>
  </mergeCells>
  <hyperlinks>
    <hyperlink ref="C4" location="Indice!A1" display="Indice" xr:uid="{00000000-0004-0000-0100-000000000000}"/>
  </hyperlinks>
  <pageMargins left="0.7" right="0.7" top="0.75" bottom="0.75" header="0.511811023622047" footer="0.511811023622047"/>
  <pageSetup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DCDCDC"/>
  </sheetPr>
  <dimension ref="A1:AMJ394"/>
  <sheetViews>
    <sheetView showGridLines="0" topLeftCell="A362" zoomScaleNormal="100" workbookViewId="0">
      <selection activeCell="A166" sqref="A166:A259"/>
    </sheetView>
  </sheetViews>
  <sheetFormatPr baseColWidth="10" defaultColWidth="10.54296875" defaultRowHeight="14.5"/>
  <cols>
    <col min="1" max="1" width="45.1796875" style="143" customWidth="1"/>
    <col min="2" max="2" width="18.1796875" style="439" customWidth="1"/>
    <col min="3" max="3" width="26.1796875" style="440" customWidth="1"/>
    <col min="4" max="4" width="21.453125" style="162" customWidth="1"/>
    <col min="5" max="5" width="21.54296875" style="162" customWidth="1"/>
    <col min="6" max="6" width="18.54296875" style="440" customWidth="1"/>
    <col min="7" max="7" width="3.453125" style="162" customWidth="1"/>
    <col min="8" max="8" width="15.453125" style="440" customWidth="1"/>
    <col min="9" max="9" width="26.1796875" style="440" customWidth="1"/>
    <col min="10" max="10" width="21.453125" style="162" customWidth="1"/>
    <col min="11" max="11" width="20.453125" style="162" customWidth="1"/>
    <col min="12" max="12" width="17.81640625" style="143" customWidth="1"/>
    <col min="13" max="13" width="13.1796875" style="162" customWidth="1"/>
    <col min="14" max="14" width="13.90625" style="162" customWidth="1"/>
    <col min="15" max="1024" width="10.54296875" style="162"/>
  </cols>
  <sheetData>
    <row r="1" spans="1:12" ht="24.75" customHeight="1">
      <c r="A1" s="422" t="str">
        <f>Indice!C1</f>
        <v>KUROSU &amp; CIA. S.A.</v>
      </c>
      <c r="E1" s="298" t="s">
        <v>23</v>
      </c>
      <c r="F1" s="441"/>
      <c r="H1" s="432"/>
      <c r="L1" s="442" t="s">
        <v>23</v>
      </c>
    </row>
    <row r="2" spans="1:12" ht="15" customHeight="1">
      <c r="C2" s="443"/>
      <c r="D2" s="444"/>
      <c r="E2" s="258"/>
      <c r="F2" s="432"/>
    </row>
    <row r="3" spans="1:12" ht="15" customHeight="1">
      <c r="C3" s="443"/>
      <c r="D3" s="444"/>
      <c r="E3" s="258"/>
      <c r="F3" s="441"/>
      <c r="G3" s="444"/>
    </row>
    <row r="4" spans="1:12" ht="15" customHeight="1">
      <c r="A4" s="212" t="s">
        <v>517</v>
      </c>
      <c r="B4" s="445"/>
      <c r="C4" s="446"/>
      <c r="D4" s="447"/>
      <c r="E4" s="447"/>
      <c r="F4" s="447"/>
      <c r="G4" s="447"/>
      <c r="H4" s="446"/>
      <c r="I4" s="446"/>
      <c r="J4" s="447"/>
      <c r="K4" s="447"/>
      <c r="L4" s="163"/>
    </row>
    <row r="5" spans="1:12" ht="15" customHeight="1">
      <c r="A5" s="430" t="s">
        <v>378</v>
      </c>
      <c r="C5" s="443"/>
      <c r="D5" s="444"/>
      <c r="E5" s="258"/>
      <c r="F5" s="443"/>
    </row>
    <row r="6" spans="1:12" ht="15" customHeight="1">
      <c r="A6" s="143" t="s">
        <v>518</v>
      </c>
      <c r="C6" s="443"/>
      <c r="D6" s="444"/>
      <c r="E6" s="258"/>
      <c r="F6" s="432"/>
    </row>
    <row r="7" spans="1:12" ht="15" customHeight="1">
      <c r="A7" s="143" t="s">
        <v>519</v>
      </c>
      <c r="C7" s="443"/>
      <c r="D7" s="444"/>
      <c r="E7" s="258"/>
      <c r="F7" s="432"/>
    </row>
    <row r="8" spans="1:12" ht="15" customHeight="1">
      <c r="C8" s="443"/>
      <c r="F8" s="432"/>
    </row>
    <row r="9" spans="1:12" ht="15" customHeight="1">
      <c r="A9" s="302" t="s">
        <v>429</v>
      </c>
      <c r="C9" s="299"/>
      <c r="D9" s="350"/>
      <c r="E9" s="350"/>
      <c r="I9" s="299"/>
      <c r="J9" s="350"/>
      <c r="K9" s="350"/>
    </row>
    <row r="10" spans="1:12" ht="15" customHeight="1">
      <c r="A10" s="286"/>
      <c r="B10" s="448"/>
      <c r="C10" s="367"/>
      <c r="D10" s="366">
        <f>IFERROR(IF(Indice!B8="","2XX2",YEAR(Indice!B8)),"2XX2")</f>
        <v>2025</v>
      </c>
      <c r="E10" s="367"/>
      <c r="F10" s="367"/>
      <c r="H10" s="367"/>
      <c r="I10" s="367"/>
      <c r="J10" s="366">
        <f>IFERROR(YEAR(Indice!B8-365),"2XX1")</f>
        <v>2024</v>
      </c>
      <c r="K10" s="449"/>
      <c r="L10" s="286"/>
    </row>
    <row r="11" spans="1:12" ht="15" customHeight="1">
      <c r="A11" s="450" t="s">
        <v>520</v>
      </c>
      <c r="B11" s="451" t="s">
        <v>521</v>
      </c>
      <c r="C11" s="452" t="s">
        <v>522</v>
      </c>
      <c r="D11" s="452" t="s">
        <v>523</v>
      </c>
      <c r="E11" s="244" t="s">
        <v>524</v>
      </c>
      <c r="F11" s="453" t="s">
        <v>525</v>
      </c>
      <c r="H11" s="453" t="s">
        <v>521</v>
      </c>
      <c r="I11" s="452" t="s">
        <v>522</v>
      </c>
      <c r="J11" s="452" t="s">
        <v>523</v>
      </c>
      <c r="K11" s="454" t="s">
        <v>526</v>
      </c>
      <c r="L11" s="455" t="s">
        <v>525</v>
      </c>
    </row>
    <row r="12" spans="1:12" ht="15" customHeight="1">
      <c r="A12" s="456" t="s">
        <v>527</v>
      </c>
      <c r="C12" s="432"/>
      <c r="E12" s="457"/>
      <c r="F12" s="458"/>
      <c r="I12" s="432"/>
      <c r="J12" s="162" t="str">
        <f>IFERROR(VLOOKUP(I12,'Base de Monedas'!A:B,2,0),"")</f>
        <v/>
      </c>
    </row>
    <row r="13" spans="1:12" ht="15" customHeight="1">
      <c r="A13" s="459" t="s">
        <v>528</v>
      </c>
      <c r="B13" s="460">
        <v>45751</v>
      </c>
      <c r="C13" s="250" t="s">
        <v>510</v>
      </c>
      <c r="D13" s="461" t="str">
        <f>IFERROR(VLOOKUP(C13,'Base de Monedas'!A:B,2,0),"")</f>
        <v>Dólar estadounidense</v>
      </c>
      <c r="E13" s="462">
        <v>15968000000</v>
      </c>
      <c r="F13" s="30" t="s">
        <v>529</v>
      </c>
      <c r="G13" s="5"/>
      <c r="H13" s="463">
        <v>45751</v>
      </c>
      <c r="I13" s="464" t="s">
        <v>510</v>
      </c>
      <c r="J13" s="461" t="str">
        <f>IFERROR(VLOOKUP(I13,'Base de Monedas'!A:B,2,0),"")</f>
        <v>Dólar estadounidense</v>
      </c>
      <c r="K13" s="465">
        <v>15686000000</v>
      </c>
      <c r="L13" s="30" t="s">
        <v>529</v>
      </c>
    </row>
    <row r="14" spans="1:12" ht="15" customHeight="1">
      <c r="A14" s="466" t="s">
        <v>530</v>
      </c>
      <c r="B14" s="460">
        <v>45751</v>
      </c>
      <c r="C14" s="250" t="s">
        <v>510</v>
      </c>
      <c r="D14" s="461" t="str">
        <f>IFERROR(VLOOKUP(C14,'Base de Monedas'!A:B,2,0),"")</f>
        <v>Dólar estadounidense</v>
      </c>
      <c r="E14" s="462">
        <v>15968000000</v>
      </c>
      <c r="F14" s="250" t="s">
        <v>529</v>
      </c>
      <c r="G14" s="143"/>
      <c r="H14" s="463">
        <v>45751</v>
      </c>
      <c r="I14" s="250" t="s">
        <v>510</v>
      </c>
      <c r="J14" s="461" t="str">
        <f>IFERROR(VLOOKUP(I14,'Base de Monedas'!A:B,2,0),"")</f>
        <v>Dólar estadounidense</v>
      </c>
      <c r="K14" s="462">
        <v>15686000000</v>
      </c>
      <c r="L14" s="250" t="s">
        <v>529</v>
      </c>
    </row>
    <row r="15" spans="1:12" ht="15" customHeight="1">
      <c r="A15" s="249" t="s">
        <v>531</v>
      </c>
      <c r="B15" s="460">
        <v>45752</v>
      </c>
      <c r="C15" s="250" t="s">
        <v>513</v>
      </c>
      <c r="D15" s="461" t="str">
        <f>IFERROR(VLOOKUP(C15,'Base de Monedas'!A:B,2,0),"")</f>
        <v>Guaraní</v>
      </c>
      <c r="E15" s="462">
        <v>10002750000</v>
      </c>
      <c r="F15" s="250" t="s">
        <v>529</v>
      </c>
      <c r="G15" s="143"/>
      <c r="H15" s="463">
        <v>45752</v>
      </c>
      <c r="I15" s="250" t="s">
        <v>513</v>
      </c>
      <c r="J15" s="461" t="str">
        <f>IFERROR(VLOOKUP(I15,'Base de Monedas'!A:B,2,0),"")</f>
        <v>Guaraní</v>
      </c>
      <c r="K15" s="462">
        <v>10002750000</v>
      </c>
      <c r="L15" s="250" t="s">
        <v>529</v>
      </c>
    </row>
    <row r="16" spans="1:12" ht="15" customHeight="1">
      <c r="A16" s="249" t="s">
        <v>531</v>
      </c>
      <c r="B16" s="460">
        <v>45770</v>
      </c>
      <c r="C16" s="250" t="s">
        <v>513</v>
      </c>
      <c r="D16" s="461" t="str">
        <f>IFERROR(VLOOKUP(C16,'Base de Monedas'!A:B,2,0),"")</f>
        <v>Guaraní</v>
      </c>
      <c r="E16" s="462">
        <v>15002750000</v>
      </c>
      <c r="F16" s="250" t="s">
        <v>529</v>
      </c>
      <c r="G16" s="143"/>
      <c r="H16" s="463">
        <v>45770</v>
      </c>
      <c r="I16" s="250" t="s">
        <v>513</v>
      </c>
      <c r="J16" s="461" t="str">
        <f>IFERROR(VLOOKUP(I16,'Base de Monedas'!A:B,2,0),"")</f>
        <v>Guaraní</v>
      </c>
      <c r="K16" s="462">
        <v>15002750000</v>
      </c>
      <c r="L16" s="250" t="s">
        <v>529</v>
      </c>
    </row>
    <row r="17" spans="1:12" ht="15" customHeight="1">
      <c r="A17" s="249" t="s">
        <v>530</v>
      </c>
      <c r="B17" s="460">
        <v>45772</v>
      </c>
      <c r="C17" s="250" t="s">
        <v>510</v>
      </c>
      <c r="D17" s="461" t="str">
        <f>IFERROR(VLOOKUP(C17,'Base de Monedas'!A:B,2,0),"")</f>
        <v>Dólar estadounidense</v>
      </c>
      <c r="E17" s="462">
        <v>15968000000</v>
      </c>
      <c r="F17" s="250" t="s">
        <v>529</v>
      </c>
      <c r="G17" s="143"/>
      <c r="H17" s="463">
        <v>45772</v>
      </c>
      <c r="I17" s="250" t="s">
        <v>510</v>
      </c>
      <c r="J17" s="461" t="str">
        <f>IFERROR(VLOOKUP(I17,'Base de Monedas'!A:B,2,0),"")</f>
        <v>Dólar estadounidense</v>
      </c>
      <c r="K17" s="462">
        <v>15686000000</v>
      </c>
      <c r="L17" s="250" t="s">
        <v>529</v>
      </c>
    </row>
    <row r="18" spans="1:12" ht="15" customHeight="1">
      <c r="A18" s="6" t="s">
        <v>532</v>
      </c>
      <c r="B18" s="460">
        <v>45773</v>
      </c>
      <c r="C18" s="250" t="s">
        <v>513</v>
      </c>
      <c r="D18" s="461" t="str">
        <f>IFERROR(VLOOKUP(C18,'Base de Monedas'!A:B,2,0),"")</f>
        <v>Guaraní</v>
      </c>
      <c r="E18" s="462">
        <v>6023201664</v>
      </c>
      <c r="F18" s="30" t="s">
        <v>529</v>
      </c>
      <c r="G18" s="5"/>
      <c r="H18" s="463">
        <v>45773</v>
      </c>
      <c r="I18" s="464" t="s">
        <v>513</v>
      </c>
      <c r="J18" s="461" t="str">
        <f>IFERROR(VLOOKUP(I18,'Base de Monedas'!A:B,2,0),"")</f>
        <v>Guaraní</v>
      </c>
      <c r="K18" s="465">
        <v>6023201664</v>
      </c>
      <c r="L18" s="30" t="s">
        <v>529</v>
      </c>
    </row>
    <row r="19" spans="1:12" ht="15" customHeight="1">
      <c r="A19" s="6" t="s">
        <v>533</v>
      </c>
      <c r="B19" s="460">
        <v>45780</v>
      </c>
      <c r="C19" s="250" t="s">
        <v>513</v>
      </c>
      <c r="D19" s="461" t="str">
        <f>IFERROR(VLOOKUP(C19,'Base de Monedas'!A:B,2,0),"")</f>
        <v>Guaraní</v>
      </c>
      <c r="E19" s="462">
        <v>15000000000</v>
      </c>
      <c r="F19" s="30" t="s">
        <v>529</v>
      </c>
      <c r="G19" s="5"/>
      <c r="H19" s="463">
        <v>45780</v>
      </c>
      <c r="I19" s="464" t="s">
        <v>513</v>
      </c>
      <c r="J19" s="461" t="str">
        <f>IFERROR(VLOOKUP(I19,'Base de Monedas'!A:B,2,0),"")</f>
        <v>Guaraní</v>
      </c>
      <c r="K19" s="465">
        <v>15000000000</v>
      </c>
      <c r="L19" s="30" t="s">
        <v>529</v>
      </c>
    </row>
    <row r="20" spans="1:12" ht="15" customHeight="1">
      <c r="A20" s="249" t="s">
        <v>531</v>
      </c>
      <c r="B20" s="460">
        <v>45802</v>
      </c>
      <c r="C20" s="250" t="s">
        <v>513</v>
      </c>
      <c r="D20" s="461" t="str">
        <f>IFERROR(VLOOKUP(C20,'Base de Monedas'!A:B,2,0),"")</f>
        <v>Guaraní</v>
      </c>
      <c r="E20" s="462">
        <v>9602750000</v>
      </c>
      <c r="F20" s="250" t="s">
        <v>529</v>
      </c>
      <c r="G20" s="143"/>
      <c r="H20" s="463">
        <v>45802</v>
      </c>
      <c r="I20" s="250" t="s">
        <v>513</v>
      </c>
      <c r="J20" s="461" t="str">
        <f>IFERROR(VLOOKUP(I20,'Base de Monedas'!A:B,2,0),"")</f>
        <v>Guaraní</v>
      </c>
      <c r="K20" s="462">
        <v>9602750000</v>
      </c>
      <c r="L20" s="250" t="s">
        <v>529</v>
      </c>
    </row>
    <row r="21" spans="1:12" ht="15" customHeight="1">
      <c r="A21" s="6" t="s">
        <v>534</v>
      </c>
      <c r="B21" s="460">
        <v>45803</v>
      </c>
      <c r="C21" s="250" t="s">
        <v>513</v>
      </c>
      <c r="D21" s="461" t="str">
        <f>IFERROR(VLOOKUP(C21,'Base de Monedas'!A:B,2,0),"")</f>
        <v>Guaraní</v>
      </c>
      <c r="E21" s="462">
        <v>15000000000</v>
      </c>
      <c r="F21" s="30" t="s">
        <v>529</v>
      </c>
      <c r="G21" s="5"/>
      <c r="H21" s="463">
        <v>45803</v>
      </c>
      <c r="I21" s="464" t="s">
        <v>513</v>
      </c>
      <c r="J21" s="461" t="str">
        <f>IFERROR(VLOOKUP(I21,'Base de Monedas'!A:B,2,0),"")</f>
        <v>Guaraní</v>
      </c>
      <c r="K21" s="465">
        <v>15000000000</v>
      </c>
      <c r="L21" s="30" t="s">
        <v>529</v>
      </c>
    </row>
    <row r="22" spans="1:12" ht="15" customHeight="1">
      <c r="A22" s="6" t="s">
        <v>532</v>
      </c>
      <c r="B22" s="460">
        <v>45806</v>
      </c>
      <c r="C22" s="250" t="s">
        <v>510</v>
      </c>
      <c r="D22" s="461" t="str">
        <f>IFERROR(VLOOKUP(C22,'Base de Monedas'!A:B,2,0),"")</f>
        <v>Dólar estadounidense</v>
      </c>
      <c r="E22" s="462">
        <v>16024128398.24</v>
      </c>
      <c r="F22" s="30" t="s">
        <v>529</v>
      </c>
      <c r="G22" s="5"/>
      <c r="H22" s="463">
        <v>45806</v>
      </c>
      <c r="I22" s="464" t="s">
        <v>510</v>
      </c>
      <c r="J22" s="461" t="str">
        <f>IFERROR(VLOOKUP(I22,'Base de Monedas'!A:B,2,0),"")</f>
        <v>Dólar estadounidense</v>
      </c>
      <c r="K22" s="465">
        <v>15741137152.73</v>
      </c>
      <c r="L22" s="30" t="s">
        <v>529</v>
      </c>
    </row>
    <row r="23" spans="1:12" ht="15" customHeight="1">
      <c r="A23" s="6" t="s">
        <v>533</v>
      </c>
      <c r="B23" s="460">
        <v>45809</v>
      </c>
      <c r="C23" s="250" t="s">
        <v>513</v>
      </c>
      <c r="D23" s="461" t="str">
        <f>IFERROR(VLOOKUP(C23,'Base de Monedas'!A:B,2,0),"")</f>
        <v>Guaraní</v>
      </c>
      <c r="E23" s="462">
        <v>15000000000</v>
      </c>
      <c r="F23" s="30" t="s">
        <v>529</v>
      </c>
      <c r="G23" s="5"/>
      <c r="H23" s="463">
        <v>45809</v>
      </c>
      <c r="I23" s="464" t="s">
        <v>513</v>
      </c>
      <c r="J23" s="461" t="str">
        <f>IFERROR(VLOOKUP(I23,'Base de Monedas'!A:B,2,0),"")</f>
        <v>Guaraní</v>
      </c>
      <c r="K23" s="467">
        <v>15000000000</v>
      </c>
      <c r="L23" s="30" t="s">
        <v>529</v>
      </c>
    </row>
    <row r="24" spans="1:12" ht="15" customHeight="1">
      <c r="A24" s="6" t="s">
        <v>533</v>
      </c>
      <c r="B24" s="460">
        <v>45815</v>
      </c>
      <c r="C24" s="250" t="s">
        <v>513</v>
      </c>
      <c r="D24" s="461" t="str">
        <f>IFERROR(VLOOKUP(C24,'Base de Monedas'!A:B,2,0),"")</f>
        <v>Guaraní</v>
      </c>
      <c r="E24" s="462">
        <v>15000000000</v>
      </c>
      <c r="F24" s="30" t="s">
        <v>529</v>
      </c>
      <c r="G24" s="5"/>
      <c r="H24" s="463">
        <v>45815</v>
      </c>
      <c r="I24" s="464" t="s">
        <v>513</v>
      </c>
      <c r="J24" s="461" t="str">
        <f>IFERROR(VLOOKUP(I24,'Base de Monedas'!A:B,2,0),"")</f>
        <v>Guaraní</v>
      </c>
      <c r="K24" s="465">
        <v>15000000000</v>
      </c>
      <c r="L24" s="30" t="s">
        <v>529</v>
      </c>
    </row>
    <row r="25" spans="1:12" ht="15" customHeight="1">
      <c r="A25" s="6" t="s">
        <v>532</v>
      </c>
      <c r="B25" s="460">
        <v>45824</v>
      </c>
      <c r="C25" s="250" t="s">
        <v>510</v>
      </c>
      <c r="D25" s="461" t="str">
        <f>IFERROR(VLOOKUP(C25,'Base de Monedas'!A:B,2,0),"")</f>
        <v>Dólar estadounidense</v>
      </c>
      <c r="E25" s="462">
        <v>13372539882.879999</v>
      </c>
      <c r="F25" s="30" t="s">
        <v>529</v>
      </c>
      <c r="G25" s="5"/>
      <c r="H25" s="463">
        <v>45824</v>
      </c>
      <c r="I25" s="464" t="s">
        <v>510</v>
      </c>
      <c r="J25" s="461" t="str">
        <f>IFERROR(VLOOKUP(I25,'Base de Monedas'!A:B,2,0),"")</f>
        <v>Dólar estadounidense</v>
      </c>
      <c r="K25" s="465">
        <v>13136376540.76</v>
      </c>
      <c r="L25" s="30" t="s">
        <v>529</v>
      </c>
    </row>
    <row r="26" spans="1:12" ht="15" customHeight="1">
      <c r="A26" s="6" t="s">
        <v>534</v>
      </c>
      <c r="B26" s="460">
        <v>45832</v>
      </c>
      <c r="C26" s="250" t="s">
        <v>510</v>
      </c>
      <c r="D26" s="461" t="str">
        <f>IFERROR(VLOOKUP(C26,'Base de Monedas'!A:B,2,0),"")</f>
        <v>Dólar estadounidense</v>
      </c>
      <c r="E26" s="462">
        <v>15968000000</v>
      </c>
      <c r="F26" s="30" t="s">
        <v>529</v>
      </c>
      <c r="G26" s="5"/>
      <c r="H26" s="463">
        <v>45832</v>
      </c>
      <c r="I26" s="464" t="s">
        <v>510</v>
      </c>
      <c r="J26" s="461" t="str">
        <f>IFERROR(VLOOKUP(I26,'Base de Monedas'!A:B,2,0),"")</f>
        <v>Dólar estadounidense</v>
      </c>
      <c r="K26" s="465">
        <v>15686000000</v>
      </c>
      <c r="L26" s="30" t="s">
        <v>529</v>
      </c>
    </row>
    <row r="27" spans="1:12" ht="15" customHeight="1">
      <c r="A27" s="6" t="s">
        <v>532</v>
      </c>
      <c r="B27" s="460">
        <v>45842</v>
      </c>
      <c r="C27" s="250" t="s">
        <v>510</v>
      </c>
      <c r="D27" s="461" t="str">
        <f>IFERROR(VLOOKUP(C27,'Base de Monedas'!A:B,2,0),"")</f>
        <v>Dólar estadounidense</v>
      </c>
      <c r="E27" s="462">
        <v>14419669506.719999</v>
      </c>
      <c r="F27" s="30" t="s">
        <v>529</v>
      </c>
      <c r="G27" s="5"/>
      <c r="H27" s="463">
        <v>45842</v>
      </c>
      <c r="I27" s="30" t="s">
        <v>510</v>
      </c>
      <c r="J27" s="461" t="str">
        <f>IFERROR(VLOOKUP(I27,'Base de Monedas'!A:B,2,0),"")</f>
        <v>Dólar estadounidense</v>
      </c>
      <c r="K27" s="465">
        <v>14165013519.690001</v>
      </c>
      <c r="L27" s="30" t="s">
        <v>529</v>
      </c>
    </row>
    <row r="28" spans="1:12">
      <c r="A28" s="6" t="s">
        <v>533</v>
      </c>
      <c r="B28" s="460">
        <v>45845</v>
      </c>
      <c r="C28" s="250" t="s">
        <v>513</v>
      </c>
      <c r="D28" s="461" t="str">
        <f>IFERROR(VLOOKUP(C28,'Base de Monedas'!A:B,2,0),"")</f>
        <v>Guaraní</v>
      </c>
      <c r="E28" s="462">
        <v>10000000000</v>
      </c>
      <c r="F28" s="30" t="s">
        <v>529</v>
      </c>
      <c r="G28" s="5"/>
      <c r="H28" s="463" t="s">
        <v>535</v>
      </c>
      <c r="I28" s="464" t="s">
        <v>535</v>
      </c>
      <c r="J28" s="461" t="str">
        <f>IFERROR(VLOOKUP(I28,'Base de Monedas'!A:B,2,0),"")</f>
        <v/>
      </c>
      <c r="K28" s="465" t="s">
        <v>535</v>
      </c>
      <c r="L28" s="30" t="s">
        <v>535</v>
      </c>
    </row>
    <row r="29" spans="1:12" ht="15" customHeight="1">
      <c r="A29" s="6" t="s">
        <v>533</v>
      </c>
      <c r="B29" s="460">
        <v>45886</v>
      </c>
      <c r="C29" s="250" t="s">
        <v>513</v>
      </c>
      <c r="D29" s="461" t="str">
        <f>IFERROR(VLOOKUP(C29,'Base de Monedas'!A:B,2,0),"")</f>
        <v>Guaraní</v>
      </c>
      <c r="E29" s="462">
        <v>15000000000</v>
      </c>
      <c r="F29" s="30" t="s">
        <v>529</v>
      </c>
      <c r="G29" s="5"/>
      <c r="H29" s="463" t="s">
        <v>535</v>
      </c>
      <c r="I29" s="464" t="s">
        <v>535</v>
      </c>
      <c r="J29" s="461" t="str">
        <f>IFERROR(VLOOKUP(I29,'Base de Monedas'!A:B,2,0),"")</f>
        <v/>
      </c>
      <c r="K29" s="465" t="s">
        <v>535</v>
      </c>
      <c r="L29" s="30" t="s">
        <v>535</v>
      </c>
    </row>
    <row r="30" spans="1:12" ht="15" customHeight="1">
      <c r="A30" s="249" t="s">
        <v>534</v>
      </c>
      <c r="B30" s="468">
        <v>45889</v>
      </c>
      <c r="C30" s="250" t="s">
        <v>510</v>
      </c>
      <c r="D30" s="461" t="str">
        <f>IFERROR(VLOOKUP(C30,'Base de Monedas'!A:B,2,0),"")</f>
        <v>Dólar estadounidense</v>
      </c>
      <c r="E30" s="462">
        <v>15968000000</v>
      </c>
      <c r="F30" s="250" t="s">
        <v>529</v>
      </c>
      <c r="G30" s="143"/>
      <c r="H30" s="463" t="s">
        <v>535</v>
      </c>
      <c r="I30" s="250" t="s">
        <v>535</v>
      </c>
      <c r="J30" s="461" t="str">
        <f>IFERROR(VLOOKUP(I30,'Base de Monedas'!A:B,2,0),"")</f>
        <v/>
      </c>
      <c r="K30" s="462" t="s">
        <v>535</v>
      </c>
      <c r="L30" s="250" t="s">
        <v>535</v>
      </c>
    </row>
    <row r="31" spans="1:12" ht="15" customHeight="1">
      <c r="A31" s="249" t="s">
        <v>534</v>
      </c>
      <c r="B31" s="460">
        <v>45895</v>
      </c>
      <c r="C31" s="250" t="s">
        <v>510</v>
      </c>
      <c r="D31" s="461" t="str">
        <f>IFERROR(VLOOKUP(C31,'Base de Monedas'!A:B,2,0),"")</f>
        <v>Dólar estadounidense</v>
      </c>
      <c r="E31" s="462">
        <v>15968000000</v>
      </c>
      <c r="F31" s="250" t="s">
        <v>529</v>
      </c>
      <c r="G31" s="143"/>
      <c r="H31" s="463" t="s">
        <v>535</v>
      </c>
      <c r="I31" s="250" t="s">
        <v>535</v>
      </c>
      <c r="J31" s="461" t="str">
        <f>IFERROR(VLOOKUP(I31,'Base de Monedas'!A:B,2,0),"")</f>
        <v/>
      </c>
      <c r="K31" s="462" t="s">
        <v>535</v>
      </c>
      <c r="L31" s="250" t="s">
        <v>535</v>
      </c>
    </row>
    <row r="32" spans="1:12" ht="15" customHeight="1">
      <c r="A32" s="6" t="s">
        <v>534</v>
      </c>
      <c r="B32" s="460">
        <v>45898</v>
      </c>
      <c r="C32" s="250" t="s">
        <v>513</v>
      </c>
      <c r="D32" s="461" t="str">
        <f>IFERROR(VLOOKUP(C32,'Base de Monedas'!A:B,2,0),"")</f>
        <v>Guaraní</v>
      </c>
      <c r="E32" s="462">
        <v>15000000000</v>
      </c>
      <c r="F32" s="30" t="s">
        <v>529</v>
      </c>
      <c r="G32" s="5"/>
      <c r="H32" s="463" t="s">
        <v>535</v>
      </c>
      <c r="I32" s="464" t="s">
        <v>535</v>
      </c>
      <c r="J32" s="461" t="str">
        <f>IFERROR(VLOOKUP(I32,'Base de Monedas'!A:B,2,0),"")</f>
        <v/>
      </c>
      <c r="K32" s="465" t="s">
        <v>535</v>
      </c>
      <c r="L32" s="30" t="s">
        <v>535</v>
      </c>
    </row>
    <row r="33" spans="1:12" ht="15" customHeight="1">
      <c r="A33" s="6" t="s">
        <v>532</v>
      </c>
      <c r="B33" s="460">
        <v>45906</v>
      </c>
      <c r="C33" s="250" t="s">
        <v>510</v>
      </c>
      <c r="D33" s="461" t="str">
        <f>IFERROR(VLOOKUP(C33,'Base de Monedas'!A:B,2,0),"")</f>
        <v>Dólar estadounidense</v>
      </c>
      <c r="E33" s="462">
        <v>15968665225.879999</v>
      </c>
      <c r="F33" s="30" t="s">
        <v>536</v>
      </c>
      <c r="G33" s="5"/>
      <c r="H33" s="463" t="s">
        <v>535</v>
      </c>
      <c r="I33" s="464" t="s">
        <v>535</v>
      </c>
      <c r="J33" s="461" t="str">
        <f>IFERROR(VLOOKUP(I33,'Base de Monedas'!A:B,2,0),"")</f>
        <v/>
      </c>
      <c r="K33" s="465" t="s">
        <v>535</v>
      </c>
      <c r="L33" s="30" t="s">
        <v>535</v>
      </c>
    </row>
    <row r="34" spans="1:12" ht="15" customHeight="1">
      <c r="A34" s="249" t="s">
        <v>537</v>
      </c>
      <c r="B34" s="460">
        <v>45917</v>
      </c>
      <c r="C34" s="250" t="s">
        <v>513</v>
      </c>
      <c r="D34" s="461" t="str">
        <f>IFERROR(VLOOKUP(C34,'Base de Monedas'!A:B,2,0),"")</f>
        <v>Guaraní</v>
      </c>
      <c r="E34" s="462">
        <v>10005500000</v>
      </c>
      <c r="F34" s="250" t="s">
        <v>536</v>
      </c>
      <c r="G34" s="143"/>
      <c r="H34" s="463" t="s">
        <v>535</v>
      </c>
      <c r="I34" s="250" t="s">
        <v>535</v>
      </c>
      <c r="J34" s="469" t="str">
        <f>IFERROR(VLOOKUP(I34,'Base de Monedas'!A:B,2,0),"")</f>
        <v/>
      </c>
      <c r="K34" s="462" t="s">
        <v>535</v>
      </c>
      <c r="L34" s="250" t="s">
        <v>535</v>
      </c>
    </row>
    <row r="35" spans="1:12" ht="15" customHeight="1">
      <c r="A35" s="6" t="s">
        <v>528</v>
      </c>
      <c r="B35" s="460">
        <v>46012</v>
      </c>
      <c r="C35" s="250" t="s">
        <v>510</v>
      </c>
      <c r="D35" s="461" t="str">
        <f>IFERROR(VLOOKUP(C35,'Base de Monedas'!A:B,2,0),"")</f>
        <v>Dólar estadounidense</v>
      </c>
      <c r="E35" s="462">
        <v>15968000000</v>
      </c>
      <c r="F35" s="30" t="s">
        <v>529</v>
      </c>
      <c r="G35" s="5"/>
      <c r="H35" s="463">
        <v>46012</v>
      </c>
      <c r="I35" s="464" t="s">
        <v>510</v>
      </c>
      <c r="J35" s="461" t="str">
        <f>IFERROR(VLOOKUP(I35,'Base de Monedas'!A:B,2,0),"")</f>
        <v>Dólar estadounidense</v>
      </c>
      <c r="K35" s="465">
        <v>15686000000</v>
      </c>
      <c r="L35" s="30" t="s">
        <v>529</v>
      </c>
    </row>
    <row r="36" spans="1:12" ht="15" customHeight="1">
      <c r="A36" s="6" t="s">
        <v>538</v>
      </c>
      <c r="B36" s="470">
        <v>46073</v>
      </c>
      <c r="C36" s="471" t="s">
        <v>510</v>
      </c>
      <c r="D36" s="461" t="str">
        <f>IFERROR(VLOOKUP(C36,'Base de Monedas'!A:B,2,0),"")</f>
        <v>Dólar estadounidense</v>
      </c>
      <c r="E36" s="462">
        <v>7984000000</v>
      </c>
      <c r="F36" s="30" t="s">
        <v>529</v>
      </c>
      <c r="G36" s="5"/>
      <c r="H36" s="463" t="s">
        <v>535</v>
      </c>
      <c r="I36" s="464" t="s">
        <v>535</v>
      </c>
      <c r="J36" s="461" t="str">
        <f>IFERROR(VLOOKUP(I36,'Base de Monedas'!A:B,2,0),"")</f>
        <v/>
      </c>
      <c r="K36" s="465" t="s">
        <v>535</v>
      </c>
      <c r="L36" s="30" t="s">
        <v>535</v>
      </c>
    </row>
    <row r="37" spans="1:12" ht="15" customHeight="1">
      <c r="A37" s="6" t="s">
        <v>538</v>
      </c>
      <c r="B37" s="460" t="s">
        <v>535</v>
      </c>
      <c r="C37" s="250" t="s">
        <v>535</v>
      </c>
      <c r="D37" s="461" t="str">
        <f>IFERROR(VLOOKUP(C37,'Base de Monedas'!A:B,2,0),"")</f>
        <v/>
      </c>
      <c r="E37" s="462" t="s">
        <v>535</v>
      </c>
      <c r="F37" s="30" t="s">
        <v>535</v>
      </c>
      <c r="G37" s="5"/>
      <c r="H37" s="463">
        <v>45715</v>
      </c>
      <c r="I37" s="464" t="s">
        <v>510</v>
      </c>
      <c r="J37" s="461" t="str">
        <f>IFERROR(VLOOKUP(I37,'Base de Monedas'!A:B,2,0),"")</f>
        <v>Dólar estadounidense</v>
      </c>
      <c r="K37" s="465">
        <v>7843000000</v>
      </c>
      <c r="L37" s="30" t="s">
        <v>529</v>
      </c>
    </row>
    <row r="38" spans="1:12" ht="15" customHeight="1">
      <c r="A38" s="6" t="s">
        <v>532</v>
      </c>
      <c r="B38" s="460" t="s">
        <v>535</v>
      </c>
      <c r="C38" s="250" t="s">
        <v>535</v>
      </c>
      <c r="D38" s="461" t="str">
        <f>IFERROR(VLOOKUP(C38,'Base de Monedas'!A:B,2,0),"")</f>
        <v/>
      </c>
      <c r="E38" s="462" t="s">
        <v>535</v>
      </c>
      <c r="F38" s="30" t="s">
        <v>535</v>
      </c>
      <c r="G38" s="5"/>
      <c r="H38" s="463">
        <v>45722</v>
      </c>
      <c r="I38" s="464" t="s">
        <v>510</v>
      </c>
      <c r="J38" s="461" t="str">
        <f>IFERROR(VLOOKUP(I38,'Base de Monedas'!A:B,2,0),"")</f>
        <v>Dólar estadounidense</v>
      </c>
      <c r="K38" s="465">
        <v>15746591959.23</v>
      </c>
      <c r="L38" s="30" t="s">
        <v>529</v>
      </c>
    </row>
    <row r="39" spans="1:12" ht="15" customHeight="1">
      <c r="A39" s="6" t="s">
        <v>532</v>
      </c>
      <c r="B39" s="460" t="s">
        <v>535</v>
      </c>
      <c r="C39" s="250" t="s">
        <v>535</v>
      </c>
      <c r="D39" s="461" t="str">
        <f>IFERROR(VLOOKUP(C39,'Base de Monedas'!A:B,2,0),"")</f>
        <v/>
      </c>
      <c r="E39" s="462" t="s">
        <v>535</v>
      </c>
      <c r="F39" s="30" t="s">
        <v>535</v>
      </c>
      <c r="G39" s="5"/>
      <c r="H39" s="463">
        <v>45692</v>
      </c>
      <c r="I39" s="464" t="s">
        <v>510</v>
      </c>
      <c r="J39" s="461" t="str">
        <f>IFERROR(VLOOKUP(I39,'Base de Monedas'!A:B,2,0),"")</f>
        <v>Dólar estadounidense</v>
      </c>
      <c r="K39" s="465">
        <v>15736789071.959999</v>
      </c>
      <c r="L39" s="30" t="s">
        <v>529</v>
      </c>
    </row>
    <row r="40" spans="1:12" ht="15" customHeight="1">
      <c r="A40" s="6" t="s">
        <v>532</v>
      </c>
      <c r="B40" s="460" t="s">
        <v>535</v>
      </c>
      <c r="C40" s="250" t="s">
        <v>535</v>
      </c>
      <c r="D40" s="461" t="str">
        <f>IFERROR(VLOOKUP(C40,'Base de Monedas'!A:B,2,0),"")</f>
        <v/>
      </c>
      <c r="E40" s="462" t="s">
        <v>535</v>
      </c>
      <c r="F40" s="30" t="s">
        <v>535</v>
      </c>
      <c r="G40" s="5"/>
      <c r="H40" s="463">
        <v>45741</v>
      </c>
      <c r="I40" s="464" t="s">
        <v>513</v>
      </c>
      <c r="J40" s="461" t="str">
        <f>IFERROR(VLOOKUP(I40,'Base de Monedas'!A:B,2,0),"")</f>
        <v>Guaraní</v>
      </c>
      <c r="K40" s="465">
        <v>10033978190</v>
      </c>
      <c r="L40" s="30" t="s">
        <v>529</v>
      </c>
    </row>
    <row r="41" spans="1:12" ht="15" customHeight="1">
      <c r="A41" s="6" t="s">
        <v>528</v>
      </c>
      <c r="B41" s="460" t="s">
        <v>535</v>
      </c>
      <c r="C41" s="250" t="s">
        <v>535</v>
      </c>
      <c r="D41" s="461" t="str">
        <f>IFERROR(VLOOKUP(C41,'Base de Monedas'!A:B,2,0),"")</f>
        <v/>
      </c>
      <c r="E41" s="462" t="s">
        <v>535</v>
      </c>
      <c r="F41" s="30" t="s">
        <v>535</v>
      </c>
      <c r="G41" s="5"/>
      <c r="H41" s="463">
        <v>45705</v>
      </c>
      <c r="I41" s="464" t="s">
        <v>510</v>
      </c>
      <c r="J41" s="461" t="str">
        <f>IFERROR(VLOOKUP(I41,'Base de Monedas'!A:B,2,0),"")</f>
        <v>Dólar estadounidense</v>
      </c>
      <c r="K41" s="465">
        <v>15686000000</v>
      </c>
      <c r="L41" s="30" t="s">
        <v>529</v>
      </c>
    </row>
    <row r="42" spans="1:12" ht="15" customHeight="1">
      <c r="A42" s="6" t="s">
        <v>534</v>
      </c>
      <c r="B42" s="460" t="s">
        <v>535</v>
      </c>
      <c r="C42" s="250" t="s">
        <v>535</v>
      </c>
      <c r="D42" s="461" t="str">
        <f>IFERROR(VLOOKUP(C42,'Base de Monedas'!A:B,2,0),"")</f>
        <v/>
      </c>
      <c r="E42" s="462" t="s">
        <v>535</v>
      </c>
      <c r="F42" s="30" t="s">
        <v>535</v>
      </c>
      <c r="G42" s="5"/>
      <c r="H42" s="463">
        <v>45667</v>
      </c>
      <c r="I42" s="464" t="s">
        <v>513</v>
      </c>
      <c r="J42" s="461" t="str">
        <f>IFERROR(VLOOKUP(I42,'Base de Monedas'!A:B,2,0),"")</f>
        <v>Guaraní</v>
      </c>
      <c r="K42" s="465">
        <v>10000000000</v>
      </c>
      <c r="L42" s="30" t="s">
        <v>529</v>
      </c>
    </row>
    <row r="43" spans="1:12" ht="14.25" customHeight="1">
      <c r="A43" s="249" t="s">
        <v>534</v>
      </c>
      <c r="B43" s="460" t="s">
        <v>535</v>
      </c>
      <c r="C43" s="250" t="s">
        <v>535</v>
      </c>
      <c r="D43" s="461" t="str">
        <f>IFERROR(VLOOKUP(C43,'Base de Monedas'!A:B,2,0),"")</f>
        <v/>
      </c>
      <c r="E43" s="462" t="s">
        <v>535</v>
      </c>
      <c r="F43" s="30" t="s">
        <v>535</v>
      </c>
      <c r="G43" s="5"/>
      <c r="H43" s="463">
        <v>45693</v>
      </c>
      <c r="I43" s="464" t="s">
        <v>513</v>
      </c>
      <c r="J43" s="461" t="str">
        <f>IFERROR(VLOOKUP(I43,'Base de Monedas'!A:B,2,0),"")</f>
        <v>Guaraní</v>
      </c>
      <c r="K43" s="465">
        <v>15000000000</v>
      </c>
      <c r="L43" s="30" t="s">
        <v>529</v>
      </c>
    </row>
    <row r="44" spans="1:12" ht="15" customHeight="1">
      <c r="A44" s="249" t="s">
        <v>534</v>
      </c>
      <c r="B44" s="460" t="s">
        <v>535</v>
      </c>
      <c r="C44" s="250" t="s">
        <v>535</v>
      </c>
      <c r="D44" s="461" t="str">
        <f>IFERROR(VLOOKUP(C44,'Base de Monedas'!A:B,2,0),"")</f>
        <v/>
      </c>
      <c r="E44" s="462" t="s">
        <v>535</v>
      </c>
      <c r="F44" s="30" t="s">
        <v>535</v>
      </c>
      <c r="G44" s="5"/>
      <c r="H44" s="463">
        <v>45700</v>
      </c>
      <c r="I44" s="464" t="s">
        <v>510</v>
      </c>
      <c r="J44" s="461" t="str">
        <f>IFERROR(VLOOKUP(I44,'Base de Monedas'!A:B,2,0),"")</f>
        <v>Dólar estadounidense</v>
      </c>
      <c r="K44" s="465">
        <v>15686000000</v>
      </c>
      <c r="L44" s="30" t="s">
        <v>529</v>
      </c>
    </row>
    <row r="45" spans="1:12" ht="15" customHeight="1">
      <c r="A45" s="249" t="s">
        <v>534</v>
      </c>
      <c r="B45" s="460" t="s">
        <v>535</v>
      </c>
      <c r="C45" s="250" t="s">
        <v>535</v>
      </c>
      <c r="D45" s="461" t="str">
        <f>IFERROR(VLOOKUP(C45,'Base de Monedas'!A:B,2,0),"")</f>
        <v/>
      </c>
      <c r="E45" s="462" t="s">
        <v>535</v>
      </c>
      <c r="F45" s="30" t="s">
        <v>535</v>
      </c>
      <c r="G45" s="5"/>
      <c r="H45" s="463">
        <v>45737</v>
      </c>
      <c r="I45" s="464" t="s">
        <v>510</v>
      </c>
      <c r="J45" s="461" t="str">
        <f>IFERROR(VLOOKUP(I45,'Base de Monedas'!A:B,2,0),"")</f>
        <v>Dólar estadounidense</v>
      </c>
      <c r="K45" s="465">
        <v>15686000000</v>
      </c>
      <c r="L45" s="30" t="s">
        <v>529</v>
      </c>
    </row>
    <row r="46" spans="1:12" ht="15" customHeight="1">
      <c r="A46" s="249" t="s">
        <v>534</v>
      </c>
      <c r="B46" s="460" t="s">
        <v>535</v>
      </c>
      <c r="C46" s="250" t="s">
        <v>535</v>
      </c>
      <c r="D46" s="461" t="str">
        <f>IFERROR(VLOOKUP(C46,'Base de Monedas'!A:B,2,0),"")</f>
        <v/>
      </c>
      <c r="E46" s="462" t="s">
        <v>535</v>
      </c>
      <c r="F46" s="30" t="s">
        <v>535</v>
      </c>
      <c r="G46" s="5"/>
      <c r="H46" s="463">
        <v>45714</v>
      </c>
      <c r="I46" s="464" t="s">
        <v>510</v>
      </c>
      <c r="J46" s="461" t="str">
        <f>IFERROR(VLOOKUP(I46,'Base de Monedas'!A:B,2,0),"")</f>
        <v>Dólar estadounidense</v>
      </c>
      <c r="K46" s="465">
        <v>23529000000</v>
      </c>
      <c r="L46" s="30" t="s">
        <v>529</v>
      </c>
    </row>
    <row r="47" spans="1:12" ht="15" customHeight="1">
      <c r="A47" s="249" t="s">
        <v>534</v>
      </c>
      <c r="B47" s="460" t="s">
        <v>535</v>
      </c>
      <c r="C47" s="250" t="s">
        <v>535</v>
      </c>
      <c r="D47" s="461" t="str">
        <f>IFERROR(VLOOKUP(C47,'Base de Monedas'!A:B,2,0),"")</f>
        <v/>
      </c>
      <c r="E47" s="462" t="s">
        <v>535</v>
      </c>
      <c r="F47" s="30" t="s">
        <v>535</v>
      </c>
      <c r="G47" s="5"/>
      <c r="H47" s="463">
        <v>45721</v>
      </c>
      <c r="I47" s="464" t="s">
        <v>510</v>
      </c>
      <c r="J47" s="461" t="str">
        <f>IFERROR(VLOOKUP(I47,'Base de Monedas'!A:B,2,0),"")</f>
        <v>Dólar estadounidense</v>
      </c>
      <c r="K47" s="465">
        <v>15686000000</v>
      </c>
      <c r="L47" s="30" t="s">
        <v>529</v>
      </c>
    </row>
    <row r="48" spans="1:12" ht="15" customHeight="1">
      <c r="A48" s="6" t="s">
        <v>534</v>
      </c>
      <c r="B48" s="460" t="s">
        <v>535</v>
      </c>
      <c r="C48" s="250" t="s">
        <v>535</v>
      </c>
      <c r="D48" s="461" t="str">
        <f>IFERROR(VLOOKUP(C48,'Base de Monedas'!A:B,2,0),"")</f>
        <v/>
      </c>
      <c r="E48" s="462" t="s">
        <v>535</v>
      </c>
      <c r="F48" s="30" t="s">
        <v>535</v>
      </c>
      <c r="G48" s="5"/>
      <c r="H48" s="463">
        <v>45726</v>
      </c>
      <c r="I48" s="464" t="s">
        <v>513</v>
      </c>
      <c r="J48" s="461" t="str">
        <f>IFERROR(VLOOKUP(I48,'Base de Monedas'!A:B,2,0),"")</f>
        <v>Guaraní</v>
      </c>
      <c r="K48" s="465">
        <v>10000000000</v>
      </c>
      <c r="L48" s="30" t="s">
        <v>529</v>
      </c>
    </row>
    <row r="49" spans="1:12" ht="15" customHeight="1">
      <c r="A49" s="249"/>
      <c r="B49" s="460"/>
      <c r="C49" s="250"/>
      <c r="D49" s="461"/>
      <c r="E49" s="462"/>
      <c r="F49" s="250"/>
      <c r="G49" s="143"/>
      <c r="H49" s="463"/>
      <c r="I49" s="250"/>
      <c r="J49" s="469"/>
      <c r="K49" s="462"/>
      <c r="L49" s="250"/>
    </row>
    <row r="50" spans="1:12" ht="15" customHeight="1">
      <c r="A50" s="472" t="s">
        <v>539</v>
      </c>
      <c r="B50" s="473"/>
      <c r="C50" s="435"/>
      <c r="D50" s="435"/>
      <c r="E50" s="474"/>
      <c r="F50" s="475"/>
      <c r="G50" s="143"/>
      <c r="H50" s="463"/>
      <c r="I50" s="250"/>
      <c r="J50" s="143"/>
      <c r="K50" s="476"/>
      <c r="L50" s="475"/>
    </row>
    <row r="51" spans="1:12" ht="15" customHeight="1">
      <c r="A51" s="456" t="s">
        <v>527</v>
      </c>
      <c r="B51" s="473"/>
      <c r="C51" s="435"/>
      <c r="D51" s="435"/>
      <c r="E51" s="474"/>
      <c r="F51" s="475"/>
      <c r="G51" s="143"/>
      <c r="H51" s="463"/>
      <c r="I51" s="250"/>
      <c r="J51" s="143"/>
      <c r="K51" s="476"/>
      <c r="L51" s="477"/>
    </row>
    <row r="52" spans="1:12" ht="15" customHeight="1">
      <c r="A52" s="249" t="s">
        <v>540</v>
      </c>
      <c r="B52" s="460">
        <v>45751</v>
      </c>
      <c r="C52" s="250" t="s">
        <v>510</v>
      </c>
      <c r="D52" s="469" t="str">
        <f>IFERROR(VLOOKUP(C52,'Base de Monedas'!A:B,2,0),"")</f>
        <v>Dólar estadounidense</v>
      </c>
      <c r="E52" s="266">
        <v>592565933.12</v>
      </c>
      <c r="F52" s="250" t="s">
        <v>529</v>
      </c>
      <c r="G52" s="143"/>
      <c r="H52" s="478">
        <v>45751</v>
      </c>
      <c r="I52" s="250" t="s">
        <v>510</v>
      </c>
      <c r="J52" s="469" t="str">
        <f>IFERROR(VLOOKUP(I52,'Base de Monedas'!A:B,2,0),"")</f>
        <v>Dólar estadounidense</v>
      </c>
      <c r="K52" s="462">
        <v>582101028.74000001</v>
      </c>
      <c r="L52" s="250" t="s">
        <v>529</v>
      </c>
    </row>
    <row r="53" spans="1:12" ht="15" customHeight="1">
      <c r="A53" s="249" t="s">
        <v>530</v>
      </c>
      <c r="B53" s="460">
        <v>45751</v>
      </c>
      <c r="C53" s="250" t="s">
        <v>510</v>
      </c>
      <c r="D53" s="469" t="str">
        <f>IFERROR(VLOOKUP(C53,'Base de Monedas'!A:B,2,0),"")</f>
        <v>Dólar estadounidense</v>
      </c>
      <c r="E53" s="266">
        <v>496101728.16000003</v>
      </c>
      <c r="F53" s="250" t="s">
        <v>529</v>
      </c>
      <c r="G53" s="143"/>
      <c r="H53" s="479">
        <v>45751</v>
      </c>
      <c r="I53" s="250" t="s">
        <v>510</v>
      </c>
      <c r="J53" s="469" t="str">
        <f>IFERROR(VLOOKUP(I53,'Base de Monedas'!A:B,2,0),"")</f>
        <v>Dólar estadounidense</v>
      </c>
      <c r="K53" s="462">
        <v>487340412.56999999</v>
      </c>
      <c r="L53" s="250" t="s">
        <v>529</v>
      </c>
    </row>
    <row r="54" spans="1:12" ht="15" customHeight="1">
      <c r="A54" s="249" t="s">
        <v>531</v>
      </c>
      <c r="B54" s="460">
        <v>45752</v>
      </c>
      <c r="C54" s="250" t="s">
        <v>513</v>
      </c>
      <c r="D54" s="469" t="str">
        <f>IFERROR(VLOOKUP(C54,'Base de Monedas'!A:B,2,0),"")</f>
        <v>Guaraní</v>
      </c>
      <c r="E54" s="266">
        <v>345300411</v>
      </c>
      <c r="F54" s="250" t="s">
        <v>529</v>
      </c>
      <c r="G54" s="143"/>
      <c r="H54" s="478">
        <v>45752</v>
      </c>
      <c r="I54" s="250" t="s">
        <v>513</v>
      </c>
      <c r="J54" s="469" t="str">
        <f>IFERROR(VLOOKUP(I54,'Base de Monedas'!A:B,2,0),"")</f>
        <v>Guaraní</v>
      </c>
      <c r="K54" s="462">
        <v>345300411</v>
      </c>
      <c r="L54" s="250" t="s">
        <v>529</v>
      </c>
    </row>
    <row r="55" spans="1:12" ht="15" customHeight="1">
      <c r="A55" s="249" t="s">
        <v>531</v>
      </c>
      <c r="B55" s="460">
        <v>45770</v>
      </c>
      <c r="C55" s="250" t="s">
        <v>513</v>
      </c>
      <c r="D55" s="469" t="str">
        <f>IFERROR(VLOOKUP(C55,'Base de Monedas'!A:B,2,0),"")</f>
        <v>Guaraní</v>
      </c>
      <c r="E55" s="266">
        <v>525301767</v>
      </c>
      <c r="F55" s="250" t="s">
        <v>529</v>
      </c>
      <c r="G55" s="143"/>
      <c r="H55" s="478">
        <v>45770</v>
      </c>
      <c r="I55" s="250" t="s">
        <v>513</v>
      </c>
      <c r="J55" s="469" t="str">
        <f>IFERROR(VLOOKUP(I55,'Base de Monedas'!A:B,2,0),"")</f>
        <v>Guaraní</v>
      </c>
      <c r="K55" s="462">
        <v>525301767</v>
      </c>
      <c r="L55" s="250" t="s">
        <v>529</v>
      </c>
    </row>
    <row r="56" spans="1:12" ht="15" customHeight="1">
      <c r="A56" s="249" t="s">
        <v>530</v>
      </c>
      <c r="B56" s="460">
        <v>45772</v>
      </c>
      <c r="C56" s="250" t="s">
        <v>510</v>
      </c>
      <c r="D56" s="469" t="str">
        <f>IFERROR(VLOOKUP(C56,'Base de Monedas'!A:B,2,0),"")</f>
        <v>Dólar estadounidense</v>
      </c>
      <c r="E56" s="266">
        <v>496101729.16000003</v>
      </c>
      <c r="F56" s="250" t="s">
        <v>529</v>
      </c>
      <c r="G56" s="143"/>
      <c r="H56" s="478">
        <v>45772</v>
      </c>
      <c r="I56" s="250" t="s">
        <v>510</v>
      </c>
      <c r="J56" s="469" t="str">
        <f>IFERROR(VLOOKUP(I56,'Base de Monedas'!A:B,2,0),"")</f>
        <v>Dólar estadounidense</v>
      </c>
      <c r="K56" s="462">
        <v>487340412.56999999</v>
      </c>
      <c r="L56" s="250" t="s">
        <v>529</v>
      </c>
    </row>
    <row r="57" spans="1:12" ht="15" customHeight="1">
      <c r="A57" s="249" t="s">
        <v>541</v>
      </c>
      <c r="B57" s="460">
        <v>45773</v>
      </c>
      <c r="C57" s="480" t="s">
        <v>513</v>
      </c>
      <c r="D57" s="469" t="str">
        <f>IFERROR(VLOOKUP(C57,'Base de Monedas'!A:B,2,0),"")</f>
        <v>Guaraní</v>
      </c>
      <c r="E57" s="266">
        <v>228716644</v>
      </c>
      <c r="F57" s="250" t="s">
        <v>529</v>
      </c>
      <c r="G57" s="143"/>
      <c r="H57" s="478">
        <v>45773</v>
      </c>
      <c r="I57" s="250" t="s">
        <v>513</v>
      </c>
      <c r="J57" s="469" t="str">
        <f>IFERROR(VLOOKUP(I57,'Base de Monedas'!A:B,2,0),"")</f>
        <v>Guaraní</v>
      </c>
      <c r="K57" s="462">
        <v>228716644</v>
      </c>
      <c r="L57" s="250" t="s">
        <v>529</v>
      </c>
    </row>
    <row r="58" spans="1:12" ht="15" customHeight="1">
      <c r="A58" s="249" t="s">
        <v>531</v>
      </c>
      <c r="B58" s="460">
        <v>45773</v>
      </c>
      <c r="C58" s="250" t="s">
        <v>513</v>
      </c>
      <c r="D58" s="469" t="str">
        <f>IFERROR(VLOOKUP(C58,'Base de Monedas'!A:B,2,0),"")</f>
        <v>Guaraní</v>
      </c>
      <c r="E58" s="266">
        <v>369377014</v>
      </c>
      <c r="F58" s="250" t="s">
        <v>529</v>
      </c>
      <c r="G58" s="143"/>
      <c r="H58" s="478">
        <v>45773</v>
      </c>
      <c r="I58" s="250" t="s">
        <v>513</v>
      </c>
      <c r="J58" s="469" t="str">
        <f>IFERROR(VLOOKUP(I58,'Base de Monedas'!A:B,2,0),"")</f>
        <v>Guaraní</v>
      </c>
      <c r="K58" s="462">
        <v>369377014</v>
      </c>
      <c r="L58" s="250" t="s">
        <v>529</v>
      </c>
    </row>
    <row r="59" spans="1:12" ht="15" customHeight="1">
      <c r="A59" s="249" t="s">
        <v>533</v>
      </c>
      <c r="B59" s="460">
        <v>45780</v>
      </c>
      <c r="C59" s="250" t="s">
        <v>513</v>
      </c>
      <c r="D59" s="469" t="str">
        <f>IFERROR(VLOOKUP(C59,'Base de Monedas'!A:B,2,0),"")</f>
        <v>Guaraní</v>
      </c>
      <c r="E59" s="266">
        <v>499315068</v>
      </c>
      <c r="F59" s="250" t="s">
        <v>529</v>
      </c>
      <c r="G59" s="143"/>
      <c r="H59" s="478">
        <v>45780</v>
      </c>
      <c r="I59" s="250" t="s">
        <v>513</v>
      </c>
      <c r="J59" s="469" t="str">
        <f>IFERROR(VLOOKUP(I59,'Base de Monedas'!A:B,2,0),"")</f>
        <v>Guaraní</v>
      </c>
      <c r="K59" s="462">
        <v>499315068</v>
      </c>
      <c r="L59" s="250" t="s">
        <v>529</v>
      </c>
    </row>
    <row r="60" spans="1:12" ht="15" customHeight="1">
      <c r="A60" s="249" t="s">
        <v>531</v>
      </c>
      <c r="B60" s="460">
        <v>45803</v>
      </c>
      <c r="C60" s="250" t="s">
        <v>513</v>
      </c>
      <c r="D60" s="469" t="str">
        <f>IFERROR(VLOOKUP(C60,'Base de Monedas'!A:B,2,0),"")</f>
        <v>Guaraní</v>
      </c>
      <c r="E60" s="266">
        <v>61562836</v>
      </c>
      <c r="F60" s="250" t="s">
        <v>529</v>
      </c>
      <c r="G60" s="143"/>
      <c r="H60" s="478">
        <v>45803</v>
      </c>
      <c r="I60" s="250" t="s">
        <v>513</v>
      </c>
      <c r="J60" s="469" t="str">
        <f>IFERROR(VLOOKUP(I60,'Base de Monedas'!A:B,2,0),"")</f>
        <v>Guaraní</v>
      </c>
      <c r="K60" s="462">
        <v>61562836</v>
      </c>
      <c r="L60" s="250" t="s">
        <v>529</v>
      </c>
    </row>
    <row r="61" spans="1:12" ht="15" customHeight="1">
      <c r="A61" s="249" t="s">
        <v>542</v>
      </c>
      <c r="B61" s="460">
        <v>45803</v>
      </c>
      <c r="C61" s="250" t="s">
        <v>513</v>
      </c>
      <c r="D61" s="469" t="str">
        <f>IFERROR(VLOOKUP(C61,'Base de Monedas'!A:B,2,0),"")</f>
        <v>Guaraní</v>
      </c>
      <c r="E61" s="266">
        <v>564410959</v>
      </c>
      <c r="F61" s="250" t="s">
        <v>529</v>
      </c>
      <c r="G61" s="143"/>
      <c r="H61" s="478">
        <v>45803</v>
      </c>
      <c r="I61" s="250" t="s">
        <v>513</v>
      </c>
      <c r="J61" s="469" t="str">
        <f>IFERROR(VLOOKUP(I61,'Base de Monedas'!A:B,2,0),"")</f>
        <v>Guaraní</v>
      </c>
      <c r="K61" s="462">
        <v>564410959</v>
      </c>
      <c r="L61" s="250" t="s">
        <v>529</v>
      </c>
    </row>
    <row r="62" spans="1:12" ht="15" customHeight="1">
      <c r="A62" s="249" t="s">
        <v>541</v>
      </c>
      <c r="B62" s="460">
        <v>45806</v>
      </c>
      <c r="C62" s="250" t="s">
        <v>510</v>
      </c>
      <c r="D62" s="469" t="str">
        <f>IFERROR(VLOOKUP(C62,'Base de Monedas'!A:B,2,0),"")</f>
        <v>Dólar estadounidense</v>
      </c>
      <c r="E62" s="266">
        <v>557771341.75999999</v>
      </c>
      <c r="F62" s="250" t="s">
        <v>529</v>
      </c>
      <c r="G62" s="143"/>
      <c r="H62" s="478">
        <v>45806</v>
      </c>
      <c r="I62" s="250" t="s">
        <v>510</v>
      </c>
      <c r="J62" s="469" t="str">
        <f>IFERROR(VLOOKUP(I62,'Base de Monedas'!A:B,2,0),"")</f>
        <v>Dólar estadounidense</v>
      </c>
      <c r="K62" s="462">
        <v>547920921.01999998</v>
      </c>
      <c r="L62" s="250" t="s">
        <v>529</v>
      </c>
    </row>
    <row r="63" spans="1:12" ht="15" customHeight="1">
      <c r="A63" s="249" t="s">
        <v>533</v>
      </c>
      <c r="B63" s="460">
        <v>45809</v>
      </c>
      <c r="C63" s="250" t="s">
        <v>513</v>
      </c>
      <c r="D63" s="469" t="str">
        <f>IFERROR(VLOOKUP(C63,'Base de Monedas'!A:B,2,0),"")</f>
        <v>Guaraní</v>
      </c>
      <c r="E63" s="266">
        <v>547397260</v>
      </c>
      <c r="F63" s="250" t="s">
        <v>529</v>
      </c>
      <c r="G63" s="143"/>
      <c r="H63" s="478">
        <v>45809</v>
      </c>
      <c r="I63" s="250" t="s">
        <v>513</v>
      </c>
      <c r="J63" s="469" t="str">
        <f>IFERROR(VLOOKUP(I63,'Base de Monedas'!A:B,2,0),"")</f>
        <v>Guaraní</v>
      </c>
      <c r="K63" s="462">
        <v>547397260</v>
      </c>
      <c r="L63" s="250" t="s">
        <v>529</v>
      </c>
    </row>
    <row r="64" spans="1:12" ht="15" customHeight="1">
      <c r="A64" s="249" t="s">
        <v>533</v>
      </c>
      <c r="B64" s="460">
        <v>45815</v>
      </c>
      <c r="C64" s="250" t="s">
        <v>513</v>
      </c>
      <c r="D64" s="469" t="str">
        <f>IFERROR(VLOOKUP(C64,'Base de Monedas'!A:B,2,0),"")</f>
        <v>Guaraní</v>
      </c>
      <c r="E64" s="266">
        <v>547397260</v>
      </c>
      <c r="F64" s="250" t="s">
        <v>529</v>
      </c>
      <c r="G64" s="143"/>
      <c r="H64" s="478">
        <v>45815</v>
      </c>
      <c r="I64" s="250" t="s">
        <v>513</v>
      </c>
      <c r="J64" s="469" t="str">
        <f>IFERROR(VLOOKUP(I64,'Base de Monedas'!A:B,2,0),"")</f>
        <v>Guaraní</v>
      </c>
      <c r="K64" s="462">
        <v>547397260</v>
      </c>
      <c r="L64" s="250" t="s">
        <v>529</v>
      </c>
    </row>
    <row r="65" spans="1:12" ht="15" customHeight="1">
      <c r="A65" s="249" t="s">
        <v>541</v>
      </c>
      <c r="B65" s="460">
        <v>45824</v>
      </c>
      <c r="C65" s="250" t="s">
        <v>510</v>
      </c>
      <c r="D65" s="469" t="str">
        <f>IFERROR(VLOOKUP(C65,'Base de Monedas'!A:B,2,0),"")</f>
        <v>Dólar estadounidense</v>
      </c>
      <c r="E65" s="266">
        <v>389085948.63999999</v>
      </c>
      <c r="F65" s="250" t="s">
        <v>529</v>
      </c>
      <c r="G65" s="143"/>
      <c r="H65" s="478">
        <v>45824</v>
      </c>
      <c r="I65" s="250" t="s">
        <v>510</v>
      </c>
      <c r="J65" s="469" t="str">
        <f>IFERROR(VLOOKUP(I65,'Base de Monedas'!A:B,2,0),"")</f>
        <v>Dólar estadounidense</v>
      </c>
      <c r="K65" s="462">
        <v>382214566.02999997</v>
      </c>
      <c r="L65" s="250" t="s">
        <v>529</v>
      </c>
    </row>
    <row r="66" spans="1:12" ht="15" customHeight="1">
      <c r="A66" s="249" t="s">
        <v>540</v>
      </c>
      <c r="B66" s="460">
        <v>45832</v>
      </c>
      <c r="C66" s="480" t="s">
        <v>510</v>
      </c>
      <c r="D66" s="469" t="str">
        <f>IFERROR(VLOOKUP(C66,'Base de Monedas'!A:B,2,0),"")</f>
        <v>Dólar estadounidense</v>
      </c>
      <c r="E66" s="266">
        <v>468540481.12</v>
      </c>
      <c r="F66" s="250" t="s">
        <v>529</v>
      </c>
      <c r="G66" s="143"/>
      <c r="H66" s="478">
        <v>45832</v>
      </c>
      <c r="I66" s="250" t="s">
        <v>510</v>
      </c>
      <c r="J66" s="469" t="str">
        <f>IFERROR(VLOOKUP(I66,'Base de Monedas'!A:B,2,0),"")</f>
        <v>Dólar estadounidense</v>
      </c>
      <c r="K66" s="462">
        <v>460265905.99000001</v>
      </c>
      <c r="L66" s="250" t="s">
        <v>529</v>
      </c>
    </row>
    <row r="67" spans="1:12" ht="15" customHeight="1">
      <c r="A67" s="249" t="s">
        <v>542</v>
      </c>
      <c r="B67" s="460">
        <v>45832</v>
      </c>
      <c r="C67" s="250" t="s">
        <v>510</v>
      </c>
      <c r="D67" s="469" t="str">
        <f>IFERROR(VLOOKUP(C67,'Base de Monedas'!A:B,2,0),"")</f>
        <v>Dólar estadounidense</v>
      </c>
      <c r="E67" s="266">
        <v>464603171.51999998</v>
      </c>
      <c r="F67" s="250" t="s">
        <v>529</v>
      </c>
      <c r="G67" s="143"/>
      <c r="H67" s="478">
        <v>45832</v>
      </c>
      <c r="I67" s="250" t="s">
        <v>510</v>
      </c>
      <c r="J67" s="469" t="str">
        <f>IFERROR(VLOOKUP(I67,'Base de Monedas'!A:B,2,0),"")</f>
        <v>Dólar estadounidense</v>
      </c>
      <c r="K67" s="462">
        <v>456398131</v>
      </c>
      <c r="L67" s="250" t="s">
        <v>529</v>
      </c>
    </row>
    <row r="68" spans="1:12" ht="15" customHeight="1">
      <c r="A68" s="249" t="s">
        <v>541</v>
      </c>
      <c r="B68" s="460">
        <v>45842</v>
      </c>
      <c r="C68" s="250" t="s">
        <v>510</v>
      </c>
      <c r="D68" s="469" t="str">
        <f>IFERROR(VLOOKUP(C68,'Base de Monedas'!A:B,2,0),"")</f>
        <v>Dólar estadounidense</v>
      </c>
      <c r="E68" s="266">
        <v>481182426.56</v>
      </c>
      <c r="F68" s="250" t="s">
        <v>529</v>
      </c>
      <c r="G68" s="143"/>
      <c r="H68" s="478">
        <v>45842</v>
      </c>
      <c r="I68" s="250" t="s">
        <v>510</v>
      </c>
      <c r="J68" s="469" t="str">
        <f>IFERROR(VLOOKUP(I68,'Base de Monedas'!A:B,2,0),"")</f>
        <v>Dólar estadounidense</v>
      </c>
      <c r="K68" s="462">
        <v>472684590.62</v>
      </c>
      <c r="L68" s="250" t="s">
        <v>529</v>
      </c>
    </row>
    <row r="69" spans="1:12" ht="15" customHeight="1">
      <c r="A69" s="249" t="s">
        <v>533</v>
      </c>
      <c r="B69" s="460">
        <v>45845</v>
      </c>
      <c r="C69" s="250" t="s">
        <v>513</v>
      </c>
      <c r="D69" s="469" t="str">
        <f>IFERROR(VLOOKUP(C69,'Base de Monedas'!A:B,2,0),"")</f>
        <v>Guaraní</v>
      </c>
      <c r="E69" s="266">
        <v>364931507</v>
      </c>
      <c r="F69" s="250" t="s">
        <v>529</v>
      </c>
      <c r="G69" s="143"/>
      <c r="H69" s="478" t="s">
        <v>535</v>
      </c>
      <c r="I69" s="250" t="s">
        <v>535</v>
      </c>
      <c r="J69" s="469" t="str">
        <f>IFERROR(VLOOKUP(I69,'Base de Monedas'!A:B,2,0),"")</f>
        <v/>
      </c>
      <c r="K69" s="462" t="s">
        <v>535</v>
      </c>
      <c r="L69" s="250" t="s">
        <v>535</v>
      </c>
    </row>
    <row r="70" spans="1:12" ht="15" customHeight="1">
      <c r="A70" s="249" t="s">
        <v>533</v>
      </c>
      <c r="B70" s="460">
        <v>45886</v>
      </c>
      <c r="C70" s="250" t="s">
        <v>513</v>
      </c>
      <c r="D70" s="469" t="str">
        <f>IFERROR(VLOOKUP(C70,'Base de Monedas'!A:B,2,0),"")</f>
        <v>Guaraní</v>
      </c>
      <c r="E70" s="266">
        <v>540000000</v>
      </c>
      <c r="F70" s="250" t="s">
        <v>529</v>
      </c>
      <c r="G70" s="143"/>
      <c r="H70" s="478" t="s">
        <v>535</v>
      </c>
      <c r="I70" s="250" t="s">
        <v>535</v>
      </c>
      <c r="J70" s="469" t="str">
        <f>IFERROR(VLOOKUP(I70,'Base de Monedas'!A:B,2,0),"")</f>
        <v/>
      </c>
      <c r="K70" s="462" t="s">
        <v>535</v>
      </c>
      <c r="L70" s="250" t="s">
        <v>535</v>
      </c>
    </row>
    <row r="71" spans="1:12" ht="15" customHeight="1">
      <c r="A71" s="249" t="s">
        <v>542</v>
      </c>
      <c r="B71" s="460">
        <v>45889</v>
      </c>
      <c r="C71" s="480" t="s">
        <v>510</v>
      </c>
      <c r="D71" s="469" t="str">
        <f>IFERROR(VLOOKUP(C71,'Base de Monedas'!A:B,2,0),"")</f>
        <v>Dólar estadounidense</v>
      </c>
      <c r="E71" s="266">
        <v>463028247.68000001</v>
      </c>
      <c r="F71" s="250" t="s">
        <v>529</v>
      </c>
      <c r="G71" s="143"/>
      <c r="H71" s="478" t="s">
        <v>535</v>
      </c>
      <c r="I71" s="250" t="s">
        <v>535</v>
      </c>
      <c r="J71" s="469" t="str">
        <f>IFERROR(VLOOKUP(I71,'Base de Monedas'!A:B,2,0),"")</f>
        <v/>
      </c>
      <c r="K71" s="462" t="s">
        <v>535</v>
      </c>
      <c r="L71" s="250" t="s">
        <v>535</v>
      </c>
    </row>
    <row r="72" spans="1:12" ht="15" customHeight="1">
      <c r="A72" s="249" t="s">
        <v>542</v>
      </c>
      <c r="B72" s="460">
        <v>45895</v>
      </c>
      <c r="C72" s="250" t="s">
        <v>510</v>
      </c>
      <c r="D72" s="469" t="str">
        <f>IFERROR(VLOOKUP(C72,'Base de Monedas'!A:B,2,0),"")</f>
        <v>Dólar estadounidense</v>
      </c>
      <c r="E72" s="266">
        <v>463028247.68000001</v>
      </c>
      <c r="F72" s="250" t="s">
        <v>529</v>
      </c>
      <c r="G72" s="143"/>
      <c r="H72" s="478" t="s">
        <v>535</v>
      </c>
      <c r="I72" s="250" t="s">
        <v>535</v>
      </c>
      <c r="J72" s="469" t="str">
        <f>IFERROR(VLOOKUP(I72,'Base de Monedas'!A:B,2,0),"")</f>
        <v/>
      </c>
      <c r="K72" s="462" t="s">
        <v>535</v>
      </c>
      <c r="L72" s="250" t="s">
        <v>535</v>
      </c>
    </row>
    <row r="73" spans="1:12" ht="15" customHeight="1">
      <c r="A73" s="249" t="s">
        <v>542</v>
      </c>
      <c r="B73" s="460">
        <v>45898</v>
      </c>
      <c r="C73" s="250" t="s">
        <v>513</v>
      </c>
      <c r="D73" s="469" t="str">
        <f>IFERROR(VLOOKUP(C73,'Base de Monedas'!A:B,2,0),"")</f>
        <v>Guaraní</v>
      </c>
      <c r="E73" s="266">
        <v>638630137</v>
      </c>
      <c r="F73" s="250" t="s">
        <v>529</v>
      </c>
      <c r="G73" s="143"/>
      <c r="H73" s="478" t="s">
        <v>535</v>
      </c>
      <c r="I73" s="250" t="s">
        <v>535</v>
      </c>
      <c r="J73" s="469" t="str">
        <f>IFERROR(VLOOKUP(I73,'Base de Monedas'!A:B,2,0),"")</f>
        <v/>
      </c>
      <c r="K73" s="462" t="s">
        <v>535</v>
      </c>
      <c r="L73" s="250" t="s">
        <v>535</v>
      </c>
    </row>
    <row r="74" spans="1:12" ht="15" customHeight="1">
      <c r="A74" s="249" t="s">
        <v>541</v>
      </c>
      <c r="B74" s="460">
        <v>45906</v>
      </c>
      <c r="C74" s="250" t="s">
        <v>510</v>
      </c>
      <c r="D74" s="469" t="str">
        <f>IFERROR(VLOOKUP(C74,'Base de Monedas'!A:B,2,0),"")</f>
        <v>Dólar estadounidense</v>
      </c>
      <c r="E74" s="266">
        <v>456747555.24000001</v>
      </c>
      <c r="F74" s="250" t="s">
        <v>536</v>
      </c>
      <c r="G74" s="143"/>
      <c r="H74" s="478" t="s">
        <v>535</v>
      </c>
      <c r="I74" s="250" t="s">
        <v>535</v>
      </c>
      <c r="J74" s="469" t="str">
        <f>IFERROR(VLOOKUP(I74,'Base de Monedas'!A:B,2,0),"")</f>
        <v/>
      </c>
      <c r="K74" s="462" t="s">
        <v>535</v>
      </c>
      <c r="L74" s="250" t="s">
        <v>535</v>
      </c>
    </row>
    <row r="75" spans="1:12" ht="15" customHeight="1">
      <c r="A75" s="249" t="s">
        <v>537</v>
      </c>
      <c r="B75" s="460">
        <v>45917</v>
      </c>
      <c r="C75" s="480" t="s">
        <v>513</v>
      </c>
      <c r="D75" s="469" t="str">
        <f>IFERROR(VLOOKUP(C75,'Base de Monedas'!A:B,2,0),"")</f>
        <v>Guaraní</v>
      </c>
      <c r="E75" s="266">
        <v>362665110</v>
      </c>
      <c r="F75" s="250" t="s">
        <v>536</v>
      </c>
      <c r="G75" s="143"/>
      <c r="H75" s="478" t="s">
        <v>535</v>
      </c>
      <c r="I75" s="250" t="s">
        <v>535</v>
      </c>
      <c r="J75" s="469" t="str">
        <f>IFERROR(VLOOKUP(I75,'Base de Monedas'!A:B,2,0),"")</f>
        <v/>
      </c>
      <c r="K75" s="462" t="s">
        <v>535</v>
      </c>
      <c r="L75" s="250" t="s">
        <v>535</v>
      </c>
    </row>
    <row r="76" spans="1:12" ht="15" customHeight="1">
      <c r="A76" s="249" t="s">
        <v>540</v>
      </c>
      <c r="B76" s="460">
        <v>46012</v>
      </c>
      <c r="C76" s="480" t="s">
        <v>510</v>
      </c>
      <c r="D76" s="469" t="str">
        <f>IFERROR(VLOOKUP(C76,'Base de Monedas'!A:B,2,0),"")</f>
        <v>Dólar estadounidense</v>
      </c>
      <c r="E76" s="266">
        <v>468540481.12</v>
      </c>
      <c r="F76" s="250" t="s">
        <v>529</v>
      </c>
      <c r="G76" s="143"/>
      <c r="H76" s="478">
        <v>46012</v>
      </c>
      <c r="I76" s="250" t="s">
        <v>510</v>
      </c>
      <c r="J76" s="469" t="str">
        <f>IFERROR(VLOOKUP(I76,'Base de Monedas'!A:B,2,0),"")</f>
        <v>Dólar estadounidense</v>
      </c>
      <c r="K76" s="462">
        <v>460265905.99000001</v>
      </c>
      <c r="L76" s="250" t="s">
        <v>529</v>
      </c>
    </row>
    <row r="77" spans="1:12" ht="15" customHeight="1">
      <c r="A77" s="249" t="s">
        <v>538</v>
      </c>
      <c r="B77" s="460">
        <v>46073</v>
      </c>
      <c r="C77" s="250" t="s">
        <v>510</v>
      </c>
      <c r="D77" s="469" t="str">
        <f>IFERROR(VLOOKUP(C77,'Base de Monedas'!A:B,2,0),"")</f>
        <v>Dólar estadounidense</v>
      </c>
      <c r="E77" s="266">
        <v>743933790.72000003</v>
      </c>
      <c r="F77" s="250" t="s">
        <v>529</v>
      </c>
      <c r="G77" s="143"/>
      <c r="H77" s="478"/>
      <c r="I77" s="250"/>
      <c r="J77" s="469" t="str">
        <f>IFERROR(VLOOKUP(I77,'Base de Monedas'!A:B,2,0),"")</f>
        <v/>
      </c>
      <c r="K77" s="462"/>
      <c r="L77" s="250"/>
    </row>
    <row r="78" spans="1:12" ht="15" customHeight="1">
      <c r="A78" s="249" t="s">
        <v>538</v>
      </c>
      <c r="B78" s="460" t="s">
        <v>535</v>
      </c>
      <c r="C78" s="250" t="s">
        <v>535</v>
      </c>
      <c r="D78" s="469" t="str">
        <f>IFERROR(VLOOKUP(C78,'Base de Monedas'!A:B,2,0),"")</f>
        <v/>
      </c>
      <c r="E78" s="266" t="s">
        <v>535</v>
      </c>
      <c r="F78" s="250" t="s">
        <v>535</v>
      </c>
      <c r="G78" s="143"/>
      <c r="H78" s="478">
        <v>45715</v>
      </c>
      <c r="I78" s="250" t="s">
        <v>510</v>
      </c>
      <c r="J78" s="469" t="str">
        <f>IFERROR(VLOOKUP(I78,'Base de Monedas'!A:B,2,0),"")</f>
        <v>Dólar estadounidense</v>
      </c>
      <c r="K78" s="462">
        <v>1469756710.1800001</v>
      </c>
      <c r="L78" s="250" t="s">
        <v>529</v>
      </c>
    </row>
    <row r="79" spans="1:12" ht="15" customHeight="1">
      <c r="A79" s="249" t="s">
        <v>541</v>
      </c>
      <c r="B79" s="460" t="s">
        <v>535</v>
      </c>
      <c r="C79" s="250" t="s">
        <v>535</v>
      </c>
      <c r="D79" s="469" t="str">
        <f>IFERROR(VLOOKUP(C79,'Base de Monedas'!A:B,2,0),"")</f>
        <v/>
      </c>
      <c r="E79" s="266" t="s">
        <v>535</v>
      </c>
      <c r="F79" s="250" t="s">
        <v>535</v>
      </c>
      <c r="G79" s="143"/>
      <c r="H79" s="478">
        <v>45722</v>
      </c>
      <c r="I79" s="250" t="s">
        <v>510</v>
      </c>
      <c r="J79" s="469" t="str">
        <f>IFERROR(VLOOKUP(I79,'Base de Monedas'!A:B,2,0),"")</f>
        <v>Dólar estadounidense</v>
      </c>
      <c r="K79" s="462">
        <v>602468907.59000003</v>
      </c>
      <c r="L79" s="250" t="s">
        <v>529</v>
      </c>
    </row>
    <row r="80" spans="1:12" ht="15" customHeight="1">
      <c r="A80" s="249" t="s">
        <v>541</v>
      </c>
      <c r="B80" s="460" t="s">
        <v>535</v>
      </c>
      <c r="C80" s="250" t="s">
        <v>535</v>
      </c>
      <c r="D80" s="469" t="str">
        <f>IFERROR(VLOOKUP(C80,'Base de Monedas'!A:B,2,0),"")</f>
        <v/>
      </c>
      <c r="E80" s="266" t="s">
        <v>535</v>
      </c>
      <c r="F80" s="250" t="s">
        <v>535</v>
      </c>
      <c r="G80" s="143"/>
      <c r="H80" s="478">
        <v>45692</v>
      </c>
      <c r="I80" s="250" t="s">
        <v>510</v>
      </c>
      <c r="J80" s="469" t="str">
        <f>IFERROR(VLOOKUP(I80,'Base de Monedas'!A:B,2,0),"")</f>
        <v>Dólar estadounidense</v>
      </c>
      <c r="K80" s="462">
        <v>504439564.31</v>
      </c>
      <c r="L80" s="250" t="s">
        <v>529</v>
      </c>
    </row>
    <row r="81" spans="1:12" ht="15" customHeight="1">
      <c r="A81" s="249" t="s">
        <v>541</v>
      </c>
      <c r="B81" s="460" t="s">
        <v>535</v>
      </c>
      <c r="C81" s="250" t="s">
        <v>535</v>
      </c>
      <c r="D81" s="469" t="str">
        <f>IFERROR(VLOOKUP(C81,'Base de Monedas'!A:B,2,0),"")</f>
        <v/>
      </c>
      <c r="E81" s="266" t="s">
        <v>535</v>
      </c>
      <c r="F81" s="250" t="s">
        <v>535</v>
      </c>
      <c r="G81" s="143"/>
      <c r="H81" s="478">
        <v>45741</v>
      </c>
      <c r="I81" s="250" t="s">
        <v>513</v>
      </c>
      <c r="J81" s="469" t="str">
        <f>IFERROR(VLOOKUP(I81,'Base de Monedas'!A:B,2,0),"")</f>
        <v>Guaraní</v>
      </c>
      <c r="K81" s="462">
        <v>336481899</v>
      </c>
      <c r="L81" s="250" t="s">
        <v>529</v>
      </c>
    </row>
    <row r="82" spans="1:12" ht="15" customHeight="1">
      <c r="A82" s="249" t="s">
        <v>540</v>
      </c>
      <c r="B82" s="460" t="s">
        <v>535</v>
      </c>
      <c r="C82" s="250" t="s">
        <v>535</v>
      </c>
      <c r="D82" s="469" t="str">
        <f>IFERROR(VLOOKUP(C82,'Base de Monedas'!A:B,2,0),"")</f>
        <v/>
      </c>
      <c r="E82" s="266" t="s">
        <v>535</v>
      </c>
      <c r="F82" s="250" t="s">
        <v>535</v>
      </c>
      <c r="G82" s="143"/>
      <c r="H82" s="478">
        <v>45675</v>
      </c>
      <c r="I82" s="250" t="s">
        <v>510</v>
      </c>
      <c r="J82" s="469" t="str">
        <f>IFERROR(VLOOKUP(I82,'Base de Monedas'!A:B,2,0),"")</f>
        <v>Dólar estadounidense</v>
      </c>
      <c r="K82" s="462">
        <v>498943738.92000002</v>
      </c>
      <c r="L82" s="250" t="s">
        <v>529</v>
      </c>
    </row>
    <row r="83" spans="1:12" ht="15" customHeight="1">
      <c r="A83" s="249" t="s">
        <v>540</v>
      </c>
      <c r="B83" s="460" t="s">
        <v>535</v>
      </c>
      <c r="C83" s="250" t="s">
        <v>535</v>
      </c>
      <c r="D83" s="469" t="str">
        <f>IFERROR(VLOOKUP(C83,'Base de Monedas'!A:B,2,0),"")</f>
        <v/>
      </c>
      <c r="E83" s="266" t="s">
        <v>535</v>
      </c>
      <c r="F83" s="250" t="s">
        <v>535</v>
      </c>
      <c r="G83" s="143"/>
      <c r="H83" s="478">
        <v>45705</v>
      </c>
      <c r="I83" s="250" t="s">
        <v>510</v>
      </c>
      <c r="J83" s="469" t="str">
        <f>IFERROR(VLOOKUP(I83,'Base de Monedas'!A:B,2,0),"")</f>
        <v>Dólar estadounidense</v>
      </c>
      <c r="K83" s="462">
        <v>83157289.819999993</v>
      </c>
      <c r="L83" s="250" t="s">
        <v>529</v>
      </c>
    </row>
    <row r="84" spans="1:12" ht="15" customHeight="1">
      <c r="A84" s="249" t="s">
        <v>542</v>
      </c>
      <c r="B84" s="460" t="s">
        <v>535</v>
      </c>
      <c r="C84" s="480" t="s">
        <v>535</v>
      </c>
      <c r="D84" s="469" t="str">
        <f>IFERROR(VLOOKUP(C84,'Base de Monedas'!A:B,2,0),"")</f>
        <v/>
      </c>
      <c r="E84" s="266" t="s">
        <v>535</v>
      </c>
      <c r="F84" s="250" t="s">
        <v>535</v>
      </c>
      <c r="G84" s="143"/>
      <c r="H84" s="478">
        <v>45667</v>
      </c>
      <c r="I84" s="250" t="s">
        <v>513</v>
      </c>
      <c r="J84" s="469" t="str">
        <f>IFERROR(VLOOKUP(I84,'Base de Monedas'!A:B,2,0),"")</f>
        <v>Guaraní</v>
      </c>
      <c r="K84" s="462">
        <v>56712329</v>
      </c>
      <c r="L84" s="250" t="s">
        <v>529</v>
      </c>
    </row>
    <row r="85" spans="1:12" ht="15" customHeight="1">
      <c r="A85" s="249" t="s">
        <v>542</v>
      </c>
      <c r="B85" s="460" t="s">
        <v>535</v>
      </c>
      <c r="C85" s="480" t="s">
        <v>535</v>
      </c>
      <c r="D85" s="469" t="str">
        <f>IFERROR(VLOOKUP(C85,'Base de Monedas'!A:B,2,0),"")</f>
        <v/>
      </c>
      <c r="E85" s="266" t="s">
        <v>535</v>
      </c>
      <c r="F85" s="250" t="s">
        <v>535</v>
      </c>
      <c r="G85" s="143"/>
      <c r="H85" s="478">
        <v>45693</v>
      </c>
      <c r="I85" s="250" t="s">
        <v>513</v>
      </c>
      <c r="J85" s="469" t="str">
        <f>IFERROR(VLOOKUP(I85,'Base de Monedas'!A:B,2,0),"")</f>
        <v>Guaraní</v>
      </c>
      <c r="K85" s="462">
        <v>499315068</v>
      </c>
      <c r="L85" s="250" t="s">
        <v>529</v>
      </c>
    </row>
    <row r="86" spans="1:12" ht="15" customHeight="1">
      <c r="A86" s="249" t="s">
        <v>542</v>
      </c>
      <c r="B86" s="460" t="s">
        <v>535</v>
      </c>
      <c r="C86" s="250" t="s">
        <v>535</v>
      </c>
      <c r="D86" s="469" t="str">
        <f>IFERROR(VLOOKUP(C86,'Base de Monedas'!A:B,2,0),"")</f>
        <v/>
      </c>
      <c r="E86" s="266" t="s">
        <v>535</v>
      </c>
      <c r="F86" s="250" t="s">
        <v>535</v>
      </c>
      <c r="G86" s="143"/>
      <c r="H86" s="478">
        <v>45700</v>
      </c>
      <c r="I86" s="250" t="s">
        <v>510</v>
      </c>
      <c r="J86" s="469" t="str">
        <f>IFERROR(VLOOKUP(I86,'Base de Monedas'!A:B,2,0),"")</f>
        <v>Dólar estadounidense</v>
      </c>
      <c r="K86" s="462">
        <v>497396629</v>
      </c>
      <c r="L86" s="250" t="s">
        <v>529</v>
      </c>
    </row>
    <row r="87" spans="1:12" ht="15" customHeight="1">
      <c r="A87" s="249" t="s">
        <v>542</v>
      </c>
      <c r="B87" s="460" t="s">
        <v>535</v>
      </c>
      <c r="C87" s="480" t="s">
        <v>535</v>
      </c>
      <c r="D87" s="469" t="str">
        <f>IFERROR(VLOOKUP(C87,'Base de Monedas'!A:B,2,0),"")</f>
        <v/>
      </c>
      <c r="E87" s="266" t="s">
        <v>535</v>
      </c>
      <c r="F87" s="250" t="s">
        <v>535</v>
      </c>
      <c r="G87" s="143"/>
      <c r="H87" s="478">
        <v>45707</v>
      </c>
      <c r="I87" s="250" t="s">
        <v>510</v>
      </c>
      <c r="J87" s="469" t="str">
        <f>IFERROR(VLOOKUP(I87,'Base de Monedas'!A:B,2,0),"")</f>
        <v>Dólar estadounidense</v>
      </c>
      <c r="K87" s="462">
        <v>502811514</v>
      </c>
      <c r="L87" s="250" t="s">
        <v>529</v>
      </c>
    </row>
    <row r="88" spans="1:12" ht="15" customHeight="1">
      <c r="A88" s="249" t="s">
        <v>542</v>
      </c>
      <c r="B88" s="460" t="s">
        <v>535</v>
      </c>
      <c r="C88" s="480" t="s">
        <v>535</v>
      </c>
      <c r="D88" s="469" t="str">
        <f>IFERROR(VLOOKUP(C88,'Base de Monedas'!A:B,2,0),"")</f>
        <v/>
      </c>
      <c r="E88" s="266" t="s">
        <v>535</v>
      </c>
      <c r="F88" s="250" t="s">
        <v>535</v>
      </c>
      <c r="G88" s="143"/>
      <c r="H88" s="478">
        <v>45737</v>
      </c>
      <c r="I88" s="250" t="s">
        <v>510</v>
      </c>
      <c r="J88" s="469" t="str">
        <f>IFERROR(VLOOKUP(I88,'Base de Monedas'!A:B,2,0),"")</f>
        <v>Dólar estadounidense</v>
      </c>
      <c r="K88" s="462">
        <v>83801906</v>
      </c>
      <c r="L88" s="250" t="s">
        <v>529</v>
      </c>
    </row>
    <row r="89" spans="1:12" ht="15" customHeight="1">
      <c r="A89" s="249" t="s">
        <v>542</v>
      </c>
      <c r="B89" s="460" t="s">
        <v>535</v>
      </c>
      <c r="C89" s="480" t="s">
        <v>535</v>
      </c>
      <c r="D89" s="469" t="str">
        <f>IFERROR(VLOOKUP(C89,'Base de Monedas'!A:B,2,0),"")</f>
        <v/>
      </c>
      <c r="E89" s="266" t="s">
        <v>535</v>
      </c>
      <c r="F89" s="250" t="s">
        <v>535</v>
      </c>
      <c r="G89" s="143"/>
      <c r="H89" s="478">
        <v>45714</v>
      </c>
      <c r="I89" s="250" t="s">
        <v>510</v>
      </c>
      <c r="J89" s="469" t="str">
        <f>IFERROR(VLOOKUP(I89,'Base de Monedas'!A:B,2,0),"")</f>
        <v>Dólar estadounidense</v>
      </c>
      <c r="K89" s="462">
        <v>746094943</v>
      </c>
      <c r="L89" s="250" t="s">
        <v>529</v>
      </c>
    </row>
    <row r="90" spans="1:12" ht="15" customHeight="1">
      <c r="A90" s="249" t="s">
        <v>542</v>
      </c>
      <c r="B90" s="460" t="s">
        <v>535</v>
      </c>
      <c r="C90" s="480" t="s">
        <v>535</v>
      </c>
      <c r="D90" s="469" t="str">
        <f>IFERROR(VLOOKUP(C90,'Base de Monedas'!A:B,2,0),"")</f>
        <v/>
      </c>
      <c r="E90" s="266" t="s">
        <v>535</v>
      </c>
      <c r="F90" s="250" t="s">
        <v>535</v>
      </c>
      <c r="G90" s="143"/>
      <c r="H90" s="478">
        <v>45721</v>
      </c>
      <c r="I90" s="250" t="s">
        <v>510</v>
      </c>
      <c r="J90" s="469" t="str">
        <f>IFERROR(VLOOKUP(I90,'Base de Monedas'!A:B,2,0),"")</f>
        <v>Dólar estadounidense</v>
      </c>
      <c r="K90" s="462">
        <v>497402433</v>
      </c>
      <c r="L90" s="250" t="s">
        <v>529</v>
      </c>
    </row>
    <row r="91" spans="1:12" ht="15" customHeight="1">
      <c r="A91" s="249" t="s">
        <v>542</v>
      </c>
      <c r="B91" s="460" t="s">
        <v>535</v>
      </c>
      <c r="C91" s="250" t="s">
        <v>535</v>
      </c>
      <c r="D91" s="469" t="str">
        <f>IFERROR(VLOOKUP(C91,'Base de Monedas'!A:B,2,0),"")</f>
        <v/>
      </c>
      <c r="E91" s="266" t="s">
        <v>535</v>
      </c>
      <c r="F91" s="250" t="s">
        <v>535</v>
      </c>
      <c r="G91" s="143"/>
      <c r="H91" s="478">
        <v>45726</v>
      </c>
      <c r="I91" s="250" t="s">
        <v>513</v>
      </c>
      <c r="J91" s="469" t="str">
        <f>IFERROR(VLOOKUP(I91,'Base de Monedas'!A:B,2,0),"")</f>
        <v>Guaraní</v>
      </c>
      <c r="K91" s="462">
        <v>338693151</v>
      </c>
      <c r="L91" s="250" t="s">
        <v>529</v>
      </c>
    </row>
    <row r="92" spans="1:12" s="391" customFormat="1" ht="15" customHeight="1">
      <c r="A92" s="302" t="s">
        <v>543</v>
      </c>
      <c r="B92" s="473" t="s">
        <v>535</v>
      </c>
      <c r="C92" s="481" t="s">
        <v>510</v>
      </c>
      <c r="D92" s="482" t="str">
        <f>IFERROR(VLOOKUP(C92,'Base de Monedas'!A:B,2,0),"")</f>
        <v>Dólar estadounidense</v>
      </c>
      <c r="E92" s="483">
        <v>-3368134214</v>
      </c>
      <c r="F92" s="481"/>
      <c r="G92" s="302"/>
      <c r="H92" s="484"/>
      <c r="I92" s="481" t="s">
        <v>510</v>
      </c>
      <c r="J92" s="482" t="str">
        <f>IFERROR(VLOOKUP(I92,'Base de Monedas'!A:B,2,0),"")</f>
        <v>Dólar estadounidense</v>
      </c>
      <c r="K92" s="485">
        <v>-4703266625</v>
      </c>
      <c r="L92" s="481"/>
    </row>
    <row r="93" spans="1:12" s="391" customFormat="1" ht="15" customHeight="1">
      <c r="A93" s="302" t="s">
        <v>543</v>
      </c>
      <c r="B93" s="473" t="s">
        <v>535</v>
      </c>
      <c r="C93" s="481" t="s">
        <v>513</v>
      </c>
      <c r="D93" s="482" t="str">
        <f>IFERROR(VLOOKUP(C93,'Base de Monedas'!A:B,2,0),"")</f>
        <v>Guaraní</v>
      </c>
      <c r="E93" s="483">
        <v>-2304553254</v>
      </c>
      <c r="F93" s="481"/>
      <c r="G93" s="302"/>
      <c r="H93" s="484"/>
      <c r="I93" s="481" t="s">
        <v>513</v>
      </c>
      <c r="J93" s="482" t="str">
        <f>IFERROR(VLOOKUP(I93,'Base de Monedas'!A:B,2,0),"")</f>
        <v>Guaraní</v>
      </c>
      <c r="K93" s="485">
        <v>-3105661064</v>
      </c>
      <c r="L93" s="481"/>
    </row>
    <row r="94" spans="1:12" ht="15" customHeight="1">
      <c r="A94" s="486" t="s">
        <v>544</v>
      </c>
      <c r="B94" s="487"/>
      <c r="C94" s="151"/>
      <c r="D94" s="150"/>
      <c r="E94" s="266"/>
      <c r="F94" s="151"/>
      <c r="G94" s="5"/>
      <c r="H94" s="488"/>
      <c r="I94" s="151"/>
      <c r="J94" s="488"/>
      <c r="K94" s="489"/>
      <c r="L94" s="30"/>
    </row>
    <row r="95" spans="1:12" ht="15" customHeight="1">
      <c r="A95" s="490" t="s">
        <v>527</v>
      </c>
      <c r="B95" s="487"/>
      <c r="C95" s="151"/>
      <c r="D95" s="150"/>
      <c r="E95" s="266"/>
      <c r="F95" s="150"/>
      <c r="G95" s="5"/>
      <c r="H95" s="488"/>
      <c r="I95" s="151"/>
      <c r="J95" s="488"/>
      <c r="K95" s="489"/>
      <c r="L95" s="5"/>
    </row>
    <row r="96" spans="1:12" ht="15" customHeight="1">
      <c r="A96" s="491" t="s">
        <v>545</v>
      </c>
      <c r="B96" s="468" t="s">
        <v>535</v>
      </c>
      <c r="C96" s="250"/>
      <c r="D96" s="469"/>
      <c r="E96" s="266" t="s">
        <v>535</v>
      </c>
      <c r="F96" s="250" t="s">
        <v>535</v>
      </c>
      <c r="G96" s="492"/>
      <c r="H96" s="478"/>
      <c r="I96" s="493"/>
      <c r="J96" s="469" t="str">
        <f>IFERROR(VLOOKUP(I96,'Base de Monedas'!A:B,2,0),"")</f>
        <v/>
      </c>
      <c r="K96" s="462">
        <v>295129031.23000002</v>
      </c>
      <c r="L96" s="493" t="s">
        <v>546</v>
      </c>
    </row>
    <row r="97" spans="1:12" ht="15" customHeight="1">
      <c r="A97" s="494" t="s">
        <v>547</v>
      </c>
      <c r="B97" s="468" t="s">
        <v>535</v>
      </c>
      <c r="C97" s="250"/>
      <c r="D97" s="461"/>
      <c r="E97" s="462" t="s">
        <v>535</v>
      </c>
      <c r="F97" s="30" t="s">
        <v>535</v>
      </c>
      <c r="G97" s="5"/>
      <c r="H97" s="471"/>
      <c r="I97" s="495"/>
      <c r="J97" s="461" t="str">
        <f>IFERROR(VLOOKUP(I97,'Base de Monedas'!A:B,2,0),"")</f>
        <v/>
      </c>
      <c r="K97" s="465">
        <v>353214681.38</v>
      </c>
      <c r="L97" s="471" t="s">
        <v>529</v>
      </c>
    </row>
    <row r="98" spans="1:12" ht="15" customHeight="1">
      <c r="A98" s="494" t="s">
        <v>547</v>
      </c>
      <c r="B98" s="468" t="s">
        <v>535</v>
      </c>
      <c r="C98" s="250"/>
      <c r="D98" s="461"/>
      <c r="E98" s="266" t="s">
        <v>535</v>
      </c>
      <c r="F98" s="30" t="s">
        <v>535</v>
      </c>
      <c r="G98" s="150"/>
      <c r="H98" s="471"/>
      <c r="I98" s="495"/>
      <c r="J98" s="461" t="str">
        <f>IFERROR(VLOOKUP(I98,'Base de Monedas'!A:B,2,0),"")</f>
        <v/>
      </c>
      <c r="K98" s="465">
        <v>574273008.87</v>
      </c>
      <c r="L98" s="495" t="s">
        <v>529</v>
      </c>
    </row>
    <row r="99" spans="1:12" ht="15" customHeight="1">
      <c r="A99" s="491" t="s">
        <v>545</v>
      </c>
      <c r="B99" s="468" t="s">
        <v>535</v>
      </c>
      <c r="C99" s="250"/>
      <c r="D99" s="469"/>
      <c r="E99" s="266" t="s">
        <v>535</v>
      </c>
      <c r="F99" s="250" t="s">
        <v>535</v>
      </c>
      <c r="G99" s="492"/>
      <c r="H99" s="478"/>
      <c r="I99" s="493"/>
      <c r="J99" s="469" t="str">
        <f>IFERROR(VLOOKUP(I99,'Base de Monedas'!A:B,2,0),"")</f>
        <v/>
      </c>
      <c r="K99" s="462">
        <v>297099506.55000001</v>
      </c>
      <c r="L99" s="478" t="s">
        <v>546</v>
      </c>
    </row>
    <row r="100" spans="1:12" ht="15" customHeight="1">
      <c r="A100" s="494" t="s">
        <v>547</v>
      </c>
      <c r="B100" s="468" t="s">
        <v>535</v>
      </c>
      <c r="C100" s="250"/>
      <c r="D100" s="461"/>
      <c r="E100" s="462" t="s">
        <v>535</v>
      </c>
      <c r="F100" s="30" t="s">
        <v>535</v>
      </c>
      <c r="G100" s="5"/>
      <c r="H100" s="471"/>
      <c r="I100" s="495"/>
      <c r="J100" s="461" t="str">
        <f>IFERROR(VLOOKUP(I100,'Base de Monedas'!A:B,2,0),"")</f>
        <v/>
      </c>
      <c r="K100" s="465">
        <v>768485766.95000005</v>
      </c>
      <c r="L100" s="471" t="s">
        <v>529</v>
      </c>
    </row>
    <row r="101" spans="1:12" ht="15" customHeight="1">
      <c r="A101" s="494" t="s">
        <v>548</v>
      </c>
      <c r="B101" s="468" t="s">
        <v>535</v>
      </c>
      <c r="C101" s="250"/>
      <c r="D101" s="461"/>
      <c r="E101" s="266" t="s">
        <v>535</v>
      </c>
      <c r="F101" s="30" t="s">
        <v>535</v>
      </c>
      <c r="G101" s="150"/>
      <c r="H101" s="471"/>
      <c r="I101" s="495"/>
      <c r="J101" s="461" t="str">
        <f>IFERROR(VLOOKUP(I101,'Base de Monedas'!A:B,2,0),"")</f>
        <v/>
      </c>
      <c r="K101" s="465">
        <v>167419736.77000001</v>
      </c>
      <c r="L101" s="495" t="s">
        <v>529</v>
      </c>
    </row>
    <row r="102" spans="1:12" ht="15" customHeight="1">
      <c r="A102" s="494" t="s">
        <v>548</v>
      </c>
      <c r="B102" s="468" t="s">
        <v>535</v>
      </c>
      <c r="C102" s="250"/>
      <c r="D102" s="461"/>
      <c r="E102" s="462" t="s">
        <v>535</v>
      </c>
      <c r="F102" s="30" t="s">
        <v>535</v>
      </c>
      <c r="G102" s="5"/>
      <c r="H102" s="471"/>
      <c r="I102" s="495"/>
      <c r="J102" s="461" t="str">
        <f>IFERROR(VLOOKUP(I102,'Base de Monedas'!A:B,2,0),"")</f>
        <v/>
      </c>
      <c r="K102" s="465">
        <v>122751185.15000001</v>
      </c>
      <c r="L102" s="495" t="s">
        <v>529</v>
      </c>
    </row>
    <row r="103" spans="1:12" ht="15" customHeight="1">
      <c r="A103" s="494" t="s">
        <v>548</v>
      </c>
      <c r="B103" s="468" t="s">
        <v>535</v>
      </c>
      <c r="C103" s="250"/>
      <c r="D103" s="461"/>
      <c r="E103" s="266" t="s">
        <v>535</v>
      </c>
      <c r="F103" s="30" t="s">
        <v>535</v>
      </c>
      <c r="G103" s="150"/>
      <c r="H103" s="471"/>
      <c r="I103" s="495"/>
      <c r="J103" s="461" t="str">
        <f>IFERROR(VLOOKUP(I103,'Base de Monedas'!A:B,2,0),"")</f>
        <v/>
      </c>
      <c r="K103" s="465">
        <v>137827470.33000001</v>
      </c>
      <c r="L103" s="495" t="s">
        <v>529</v>
      </c>
    </row>
    <row r="104" spans="1:12" ht="15" customHeight="1">
      <c r="A104" s="491" t="s">
        <v>545</v>
      </c>
      <c r="B104" s="468" t="s">
        <v>535</v>
      </c>
      <c r="C104" s="250"/>
      <c r="D104" s="469"/>
      <c r="E104" s="266" t="s">
        <v>535</v>
      </c>
      <c r="F104" s="250" t="s">
        <v>535</v>
      </c>
      <c r="G104" s="492"/>
      <c r="H104" s="478"/>
      <c r="I104" s="493"/>
      <c r="J104" s="469" t="str">
        <f>IFERROR(VLOOKUP(I104,'Base de Monedas'!A:B,2,0),"")</f>
        <v/>
      </c>
      <c r="K104" s="462">
        <v>299083314.97000003</v>
      </c>
      <c r="L104" s="493" t="s">
        <v>546</v>
      </c>
    </row>
    <row r="105" spans="1:12" ht="15" customHeight="1">
      <c r="A105" s="494" t="s">
        <v>547</v>
      </c>
      <c r="B105" s="468" t="s">
        <v>535</v>
      </c>
      <c r="C105" s="250"/>
      <c r="D105" s="469"/>
      <c r="E105" s="266" t="s">
        <v>535</v>
      </c>
      <c r="F105" s="250" t="s">
        <v>535</v>
      </c>
      <c r="G105" s="143"/>
      <c r="H105" s="478"/>
      <c r="I105" s="493"/>
      <c r="J105" s="469" t="str">
        <f>IFERROR(VLOOKUP(I105,'Base de Monedas'!A:B,2,0),"")</f>
        <v/>
      </c>
      <c r="K105" s="462">
        <v>266292280.97999999</v>
      </c>
      <c r="L105" s="478" t="s">
        <v>529</v>
      </c>
    </row>
    <row r="106" spans="1:12" ht="15" customHeight="1">
      <c r="A106" s="494" t="s">
        <v>547</v>
      </c>
      <c r="B106" s="468" t="s">
        <v>535</v>
      </c>
      <c r="C106" s="250"/>
      <c r="D106" s="469"/>
      <c r="E106" s="266" t="s">
        <v>535</v>
      </c>
      <c r="F106" s="250" t="s">
        <v>535</v>
      </c>
      <c r="G106" s="492"/>
      <c r="H106" s="478"/>
      <c r="I106" s="493"/>
      <c r="J106" s="469" t="str">
        <f>IFERROR(VLOOKUP(I106,'Base de Monedas'!A:B,2,0),"")</f>
        <v/>
      </c>
      <c r="K106" s="462">
        <v>831202081.15999997</v>
      </c>
      <c r="L106" s="478" t="s">
        <v>529</v>
      </c>
    </row>
    <row r="107" spans="1:12" ht="15" customHeight="1">
      <c r="A107" s="494" t="s">
        <v>547</v>
      </c>
      <c r="B107" s="468" t="s">
        <v>535</v>
      </c>
      <c r="C107" s="250"/>
      <c r="D107" s="461"/>
      <c r="E107" s="266" t="s">
        <v>535</v>
      </c>
      <c r="F107" s="30" t="s">
        <v>535</v>
      </c>
      <c r="G107" s="150"/>
      <c r="H107" s="471"/>
      <c r="I107" s="495"/>
      <c r="J107" s="461" t="str">
        <f>IFERROR(VLOOKUP(I107,'Base de Monedas'!A:B,2,0),"")</f>
        <v/>
      </c>
      <c r="K107" s="465">
        <v>241200171.08000001</v>
      </c>
      <c r="L107" s="495" t="s">
        <v>529</v>
      </c>
    </row>
    <row r="108" spans="1:12" ht="15" customHeight="1">
      <c r="A108" s="494" t="s">
        <v>548</v>
      </c>
      <c r="B108" s="468" t="s">
        <v>535</v>
      </c>
      <c r="C108" s="250"/>
      <c r="D108" s="461"/>
      <c r="E108" s="462" t="s">
        <v>535</v>
      </c>
      <c r="F108" s="30" t="s">
        <v>535</v>
      </c>
      <c r="G108" s="5"/>
      <c r="H108" s="471"/>
      <c r="I108" s="495"/>
      <c r="J108" s="461" t="str">
        <f>IFERROR(VLOOKUP(I108,'Base de Monedas'!A:B,2,0),"")</f>
        <v/>
      </c>
      <c r="K108" s="465">
        <v>439621169.24000001</v>
      </c>
      <c r="L108" s="471" t="s">
        <v>529</v>
      </c>
    </row>
    <row r="109" spans="1:12" ht="15" customHeight="1">
      <c r="A109" s="494" t="s">
        <v>547</v>
      </c>
      <c r="B109" s="468" t="s">
        <v>535</v>
      </c>
      <c r="C109" s="250"/>
      <c r="D109" s="461"/>
      <c r="E109" s="266" t="s">
        <v>535</v>
      </c>
      <c r="F109" s="30" t="s">
        <v>535</v>
      </c>
      <c r="G109" s="5"/>
      <c r="H109" s="471"/>
      <c r="I109" s="495"/>
      <c r="J109" s="461" t="str">
        <f>IFERROR(VLOOKUP(I109,'Base de Monedas'!A:B,2,0),"")</f>
        <v/>
      </c>
      <c r="K109" s="465">
        <v>105670072.31</v>
      </c>
      <c r="L109" s="471" t="s">
        <v>529</v>
      </c>
    </row>
    <row r="110" spans="1:12" ht="15" customHeight="1">
      <c r="A110" s="494" t="s">
        <v>548</v>
      </c>
      <c r="B110" s="468" t="s">
        <v>535</v>
      </c>
      <c r="C110" s="250"/>
      <c r="D110" s="461"/>
      <c r="E110" s="266" t="s">
        <v>535</v>
      </c>
      <c r="F110" s="30" t="s">
        <v>535</v>
      </c>
      <c r="G110" s="150"/>
      <c r="H110" s="471"/>
      <c r="I110" s="495"/>
      <c r="J110" s="461" t="str">
        <f>IFERROR(VLOOKUP(I110,'Base de Monedas'!A:B,2,0),"")</f>
        <v/>
      </c>
      <c r="K110" s="465">
        <v>206986103.16999999</v>
      </c>
      <c r="L110" s="495" t="s">
        <v>529</v>
      </c>
    </row>
    <row r="111" spans="1:12" ht="15" customHeight="1">
      <c r="A111" s="494" t="s">
        <v>548</v>
      </c>
      <c r="B111" s="468" t="s">
        <v>535</v>
      </c>
      <c r="C111" s="250"/>
      <c r="D111" s="461"/>
      <c r="E111" s="462" t="s">
        <v>535</v>
      </c>
      <c r="F111" s="30" t="s">
        <v>535</v>
      </c>
      <c r="G111" s="5"/>
      <c r="H111" s="471"/>
      <c r="I111" s="495"/>
      <c r="J111" s="461" t="str">
        <f>IFERROR(VLOOKUP(I111,'Base de Monedas'!A:B,2,0),"")</f>
        <v/>
      </c>
      <c r="K111" s="465">
        <v>149164369.97</v>
      </c>
      <c r="L111" s="471" t="s">
        <v>529</v>
      </c>
    </row>
    <row r="112" spans="1:12" ht="15" customHeight="1">
      <c r="A112" s="494" t="s">
        <v>548</v>
      </c>
      <c r="B112" s="468" t="s">
        <v>535</v>
      </c>
      <c r="C112" s="250"/>
      <c r="D112" s="461"/>
      <c r="E112" s="266" t="s">
        <v>535</v>
      </c>
      <c r="F112" s="30" t="s">
        <v>535</v>
      </c>
      <c r="G112" s="150"/>
      <c r="H112" s="471"/>
      <c r="I112" s="495"/>
      <c r="J112" s="461" t="str">
        <f>IFERROR(VLOOKUP(I112,'Base de Monedas'!A:B,2,0),"")</f>
        <v/>
      </c>
      <c r="K112" s="465">
        <v>191869034.38999999</v>
      </c>
      <c r="L112" s="495" t="s">
        <v>529</v>
      </c>
    </row>
    <row r="113" spans="1:12" ht="15" customHeight="1">
      <c r="A113" s="494" t="s">
        <v>547</v>
      </c>
      <c r="B113" s="468" t="s">
        <v>535</v>
      </c>
      <c r="C113" s="250"/>
      <c r="D113" s="461"/>
      <c r="E113" s="266" t="s">
        <v>535</v>
      </c>
      <c r="F113" s="30" t="s">
        <v>535</v>
      </c>
      <c r="G113" s="150"/>
      <c r="H113" s="471"/>
      <c r="I113" s="495"/>
      <c r="J113" s="461" t="str">
        <f>IFERROR(VLOOKUP(I113,'Base de Monedas'!A:B,2,0),"")</f>
        <v/>
      </c>
      <c r="K113" s="465">
        <v>497472705.83999997</v>
      </c>
      <c r="L113" s="471" t="s">
        <v>529</v>
      </c>
    </row>
    <row r="114" spans="1:12" ht="15" customHeight="1">
      <c r="A114" s="494" t="s">
        <v>548</v>
      </c>
      <c r="B114" s="468" t="s">
        <v>535</v>
      </c>
      <c r="C114" s="250"/>
      <c r="D114" s="461"/>
      <c r="E114" s="266" t="s">
        <v>535</v>
      </c>
      <c r="F114" s="30" t="s">
        <v>535</v>
      </c>
      <c r="G114" s="150"/>
      <c r="H114" s="471"/>
      <c r="I114" s="495"/>
      <c r="J114" s="461" t="str">
        <f>IFERROR(VLOOKUP(I114,'Base de Monedas'!A:B,2,0),"")</f>
        <v/>
      </c>
      <c r="K114" s="465">
        <v>291879205.75</v>
      </c>
      <c r="L114" s="495" t="s">
        <v>529</v>
      </c>
    </row>
    <row r="115" spans="1:12" ht="15" customHeight="1">
      <c r="A115" s="494" t="s">
        <v>547</v>
      </c>
      <c r="B115" s="468" t="s">
        <v>535</v>
      </c>
      <c r="C115" s="250"/>
      <c r="D115" s="461"/>
      <c r="E115" s="266" t="s">
        <v>535</v>
      </c>
      <c r="F115" s="30" t="s">
        <v>535</v>
      </c>
      <c r="G115" s="5"/>
      <c r="H115" s="471"/>
      <c r="I115" s="495"/>
      <c r="J115" s="461" t="str">
        <f>IFERROR(VLOOKUP(I115,'Base de Monedas'!A:B,2,0),"")</f>
        <v/>
      </c>
      <c r="K115" s="465">
        <v>282216472.88999999</v>
      </c>
      <c r="L115" s="471" t="s">
        <v>529</v>
      </c>
    </row>
    <row r="116" spans="1:12" ht="15" customHeight="1">
      <c r="A116" s="494" t="s">
        <v>547</v>
      </c>
      <c r="B116" s="468" t="s">
        <v>535</v>
      </c>
      <c r="C116" s="250"/>
      <c r="D116" s="461"/>
      <c r="E116" s="462" t="s">
        <v>535</v>
      </c>
      <c r="F116" s="30" t="s">
        <v>535</v>
      </c>
      <c r="G116" s="5"/>
      <c r="H116" s="471"/>
      <c r="I116" s="495"/>
      <c r="J116" s="461" t="str">
        <f>IFERROR(VLOOKUP(I116,'Base de Monedas'!A:B,2,0),"")</f>
        <v/>
      </c>
      <c r="K116" s="465">
        <v>480951191.05000001</v>
      </c>
      <c r="L116" s="471" t="s">
        <v>529</v>
      </c>
    </row>
    <row r="117" spans="1:12" ht="15" customHeight="1">
      <c r="A117" s="494" t="s">
        <v>548</v>
      </c>
      <c r="B117" s="468" t="s">
        <v>535</v>
      </c>
      <c r="C117" s="250"/>
      <c r="D117" s="461"/>
      <c r="E117" s="266" t="s">
        <v>535</v>
      </c>
      <c r="F117" s="30" t="s">
        <v>535</v>
      </c>
      <c r="G117" s="150"/>
      <c r="H117" s="471"/>
      <c r="I117" s="495"/>
      <c r="J117" s="461" t="str">
        <f>IFERROR(VLOOKUP(I117,'Base de Monedas'!A:B,2,0),"")</f>
        <v/>
      </c>
      <c r="K117" s="465">
        <v>191869034.38999999</v>
      </c>
      <c r="L117" s="495" t="s">
        <v>529</v>
      </c>
    </row>
    <row r="118" spans="1:12" ht="15" customHeight="1">
      <c r="A118" s="491" t="s">
        <v>545</v>
      </c>
      <c r="B118" s="468">
        <v>45752</v>
      </c>
      <c r="C118" s="250" t="s">
        <v>510</v>
      </c>
      <c r="D118" s="469" t="str">
        <f>IFERROR(VLOOKUP(C118,'Base de Monedas'!A:B,2,0),"")</f>
        <v>Dólar estadounidense</v>
      </c>
      <c r="E118" s="266">
        <v>306492825.92000002</v>
      </c>
      <c r="F118" s="250" t="s">
        <v>546</v>
      </c>
      <c r="G118" s="492"/>
      <c r="H118" s="478"/>
      <c r="I118" s="493"/>
      <c r="J118" s="469" t="str">
        <f>IFERROR(VLOOKUP(I118,'Base de Monedas'!A:B,2,0),"")</f>
        <v/>
      </c>
      <c r="K118" s="462">
        <v>301080064.33999997</v>
      </c>
      <c r="L118" s="478" t="s">
        <v>546</v>
      </c>
    </row>
    <row r="119" spans="1:12" ht="15" customHeight="1">
      <c r="A119" s="494" t="s">
        <v>547</v>
      </c>
      <c r="B119" s="468">
        <v>45755</v>
      </c>
      <c r="C119" s="250" t="s">
        <v>510</v>
      </c>
      <c r="D119" s="461" t="str">
        <f>IFERROR(VLOOKUP(C119,'Base de Monedas'!A:B,2,0),"")</f>
        <v>Dólar estadounidense</v>
      </c>
      <c r="E119" s="462">
        <v>370401791.83999997</v>
      </c>
      <c r="F119" s="30" t="s">
        <v>529</v>
      </c>
      <c r="G119" s="5"/>
      <c r="H119" s="471"/>
      <c r="I119" s="495"/>
      <c r="J119" s="461" t="str">
        <f>IFERROR(VLOOKUP(I119,'Base de Monedas'!A:B,2,0),"")</f>
        <v/>
      </c>
      <c r="K119" s="465">
        <v>363860377.43000001</v>
      </c>
      <c r="L119" s="471" t="s">
        <v>529</v>
      </c>
    </row>
    <row r="120" spans="1:12" ht="15" customHeight="1">
      <c r="A120" s="494" t="s">
        <v>547</v>
      </c>
      <c r="B120" s="468">
        <v>45765</v>
      </c>
      <c r="C120" s="250" t="s">
        <v>510</v>
      </c>
      <c r="D120" s="461" t="str">
        <f>IFERROR(VLOOKUP(C120,'Base de Monedas'!A:B,2,0),"")</f>
        <v>Dólar estadounidense</v>
      </c>
      <c r="E120" s="266">
        <v>135303171.36000001</v>
      </c>
      <c r="F120" s="30" t="s">
        <v>529</v>
      </c>
      <c r="G120" s="150"/>
      <c r="H120" s="471"/>
      <c r="I120" s="495"/>
      <c r="J120" s="461" t="str">
        <f>IFERROR(VLOOKUP(I120,'Base de Monedas'!A:B,2,0),"")</f>
        <v/>
      </c>
      <c r="K120" s="465">
        <v>132913673.97</v>
      </c>
      <c r="L120" s="471" t="s">
        <v>529</v>
      </c>
    </row>
    <row r="121" spans="1:12" ht="15" customHeight="1">
      <c r="A121" s="494" t="s">
        <v>547</v>
      </c>
      <c r="B121" s="468">
        <v>45770</v>
      </c>
      <c r="C121" s="250" t="s">
        <v>510</v>
      </c>
      <c r="D121" s="461" t="str">
        <f>IFERROR(VLOOKUP(C121,'Base de Monedas'!A:B,2,0),"")</f>
        <v>Dólar estadounidense</v>
      </c>
      <c r="E121" s="266">
        <v>107569789.28</v>
      </c>
      <c r="F121" s="30" t="s">
        <v>529</v>
      </c>
      <c r="G121" s="5"/>
      <c r="H121" s="471"/>
      <c r="I121" s="495"/>
      <c r="J121" s="461" t="str">
        <f>IFERROR(VLOOKUP(I121,'Base de Monedas'!A:B,2,0),"")</f>
        <v/>
      </c>
      <c r="K121" s="465">
        <v>105670072.31</v>
      </c>
      <c r="L121" s="471" t="s">
        <v>529</v>
      </c>
    </row>
    <row r="122" spans="1:12" ht="15" customHeight="1">
      <c r="A122" s="494" t="s">
        <v>547</v>
      </c>
      <c r="B122" s="468">
        <v>45775</v>
      </c>
      <c r="C122" s="250" t="s">
        <v>510</v>
      </c>
      <c r="D122" s="461" t="str">
        <f>IFERROR(VLOOKUP(C122,'Base de Monedas'!A:B,2,0),"")</f>
        <v>Dólar estadounidense</v>
      </c>
      <c r="E122" s="266">
        <v>304302894.56</v>
      </c>
      <c r="F122" s="30" t="s">
        <v>529</v>
      </c>
      <c r="G122" s="150"/>
      <c r="H122" s="471"/>
      <c r="I122" s="495"/>
      <c r="J122" s="461" t="str">
        <f>IFERROR(VLOOKUP(I122,'Base de Monedas'!A:B,2,0),"")</f>
        <v/>
      </c>
      <c r="K122" s="465">
        <v>298928807.87</v>
      </c>
      <c r="L122" s="495" t="s">
        <v>529</v>
      </c>
    </row>
    <row r="123" spans="1:12" ht="15" customHeight="1">
      <c r="A123" s="491" t="s">
        <v>545</v>
      </c>
      <c r="B123" s="468">
        <v>45782</v>
      </c>
      <c r="C123" s="250" t="s">
        <v>510</v>
      </c>
      <c r="D123" s="469" t="str">
        <f>IFERROR(VLOOKUP(C123,'Base de Monedas'!A:B,2,0),"")</f>
        <v>Dólar estadounidense</v>
      </c>
      <c r="E123" s="266">
        <v>308538965.44</v>
      </c>
      <c r="F123" s="250" t="s">
        <v>546</v>
      </c>
      <c r="G123" s="492"/>
      <c r="H123" s="478"/>
      <c r="I123" s="493"/>
      <c r="J123" s="469" t="str">
        <f>IFERROR(VLOOKUP(I123,'Base de Monedas'!A:B,2,0),"")</f>
        <v/>
      </c>
      <c r="K123" s="462">
        <v>303090068.38</v>
      </c>
      <c r="L123" s="493" t="s">
        <v>546</v>
      </c>
    </row>
    <row r="124" spans="1:12" ht="15" customHeight="1">
      <c r="A124" s="494" t="s">
        <v>548</v>
      </c>
      <c r="B124" s="468">
        <v>45792</v>
      </c>
      <c r="C124" s="250" t="s">
        <v>510</v>
      </c>
      <c r="D124" s="461" t="str">
        <f>IFERROR(VLOOKUP(C124,'Base de Monedas'!A:B,2,0),"")</f>
        <v>Dólar estadounidense</v>
      </c>
      <c r="E124" s="462">
        <v>151622866.56</v>
      </c>
      <c r="F124" s="30" t="s">
        <v>529</v>
      </c>
      <c r="G124" s="5"/>
      <c r="H124" s="471"/>
      <c r="I124" s="495"/>
      <c r="J124" s="461" t="str">
        <f>IFERROR(VLOOKUP(I124,'Base de Monedas'!A:B,2,0),"")</f>
        <v/>
      </c>
      <c r="K124" s="465">
        <v>148945158.12</v>
      </c>
      <c r="L124" s="471" t="s">
        <v>529</v>
      </c>
    </row>
    <row r="125" spans="1:12" ht="15" customHeight="1">
      <c r="A125" s="494" t="s">
        <v>548</v>
      </c>
      <c r="B125" s="468">
        <v>45808</v>
      </c>
      <c r="C125" s="250" t="s">
        <v>510</v>
      </c>
      <c r="D125" s="461" t="str">
        <f>IFERROR(VLOOKUP(C125,'Base de Monedas'!A:B,2,0),"")</f>
        <v>Dólar estadounidense</v>
      </c>
      <c r="E125" s="266">
        <v>444075988.16000003</v>
      </c>
      <c r="F125" s="30" t="s">
        <v>529</v>
      </c>
      <c r="G125" s="150"/>
      <c r="H125" s="471"/>
      <c r="I125" s="495"/>
      <c r="J125" s="461" t="str">
        <f>IFERROR(VLOOKUP(I125,'Base de Monedas'!A:B,2,0),"")</f>
        <v/>
      </c>
      <c r="K125" s="465">
        <v>436233463.81999999</v>
      </c>
      <c r="L125" s="495" t="s">
        <v>529</v>
      </c>
    </row>
    <row r="126" spans="1:12" ht="15" customHeight="1">
      <c r="A126" s="491" t="s">
        <v>545</v>
      </c>
      <c r="B126" s="468">
        <v>45813</v>
      </c>
      <c r="C126" s="250" t="s">
        <v>510</v>
      </c>
      <c r="D126" s="469" t="str">
        <f>IFERROR(VLOOKUP(C126,'Base de Monedas'!A:B,2,0),"")</f>
        <v>Dólar estadounidense</v>
      </c>
      <c r="E126" s="266">
        <v>310599316.48000002</v>
      </c>
      <c r="F126" s="250" t="s">
        <v>546</v>
      </c>
      <c r="G126" s="492"/>
      <c r="H126" s="478"/>
      <c r="I126" s="493"/>
      <c r="J126" s="469" t="str">
        <f>IFERROR(VLOOKUP(I126,'Base de Monedas'!A:B,2,0),"")</f>
        <v/>
      </c>
      <c r="K126" s="462">
        <v>305114032.95999998</v>
      </c>
      <c r="L126" s="493" t="s">
        <v>546</v>
      </c>
    </row>
    <row r="127" spans="1:12" ht="15" customHeight="1">
      <c r="A127" s="491" t="s">
        <v>545</v>
      </c>
      <c r="B127" s="468">
        <v>45843</v>
      </c>
      <c r="C127" s="250" t="s">
        <v>510</v>
      </c>
      <c r="D127" s="469" t="str">
        <f>IFERROR(VLOOKUP(C127,'Base de Monedas'!A:B,2,0),"")</f>
        <v>Dólar estadounidense</v>
      </c>
      <c r="E127" s="266">
        <v>312673080.63999999</v>
      </c>
      <c r="F127" s="250" t="s">
        <v>546</v>
      </c>
      <c r="G127" s="492"/>
      <c r="H127" s="478"/>
      <c r="I127" s="493"/>
      <c r="J127" s="469" t="str">
        <f>IFERROR(VLOOKUP(I127,'Base de Monedas'!A:B,2,0),"")</f>
        <v/>
      </c>
      <c r="K127" s="462">
        <v>307151173.77999997</v>
      </c>
      <c r="L127" s="493" t="s">
        <v>546</v>
      </c>
    </row>
    <row r="128" spans="1:12" ht="15" customHeight="1">
      <c r="A128" s="494" t="s">
        <v>547</v>
      </c>
      <c r="B128" s="468">
        <v>45864</v>
      </c>
      <c r="C128" s="250" t="s">
        <v>510</v>
      </c>
      <c r="D128" s="461" t="str">
        <f>IFERROR(VLOOKUP(C128,'Base de Monedas'!A:B,2,0),"")</f>
        <v>Dólar estadounidense</v>
      </c>
      <c r="E128" s="266">
        <v>359564629.60000002</v>
      </c>
      <c r="F128" s="30" t="s">
        <v>529</v>
      </c>
      <c r="G128" s="150"/>
      <c r="H128" s="471"/>
      <c r="I128" s="471"/>
      <c r="J128" s="461" t="str">
        <f>IFERROR(VLOOKUP(I128,'Base de Monedas'!A:B,2,0),"")</f>
        <v/>
      </c>
      <c r="K128" s="465">
        <v>353214602.94999999</v>
      </c>
      <c r="L128" s="471" t="s">
        <v>529</v>
      </c>
    </row>
    <row r="129" spans="1:12" ht="15" customHeight="1">
      <c r="A129" s="494" t="s">
        <v>547</v>
      </c>
      <c r="B129" s="468">
        <v>45870</v>
      </c>
      <c r="C129" s="250" t="s">
        <v>510</v>
      </c>
      <c r="D129" s="469" t="str">
        <f>IFERROR(VLOOKUP(C129,'Base de Monedas'!A:B,2,0),"")</f>
        <v>Dólar estadounidense</v>
      </c>
      <c r="E129" s="266">
        <v>584597262.39999998</v>
      </c>
      <c r="F129" s="250" t="s">
        <v>529</v>
      </c>
      <c r="G129" s="492"/>
      <c r="H129" s="478"/>
      <c r="I129" s="493"/>
      <c r="J129" s="469" t="str">
        <f>IFERROR(VLOOKUP(I129,'Base de Monedas'!A:B,2,0),"")</f>
        <v/>
      </c>
      <c r="K129" s="462">
        <v>574273087.29999995</v>
      </c>
      <c r="L129" s="478" t="s">
        <v>529</v>
      </c>
    </row>
    <row r="130" spans="1:12" ht="15" customHeight="1">
      <c r="A130" s="491" t="s">
        <v>545</v>
      </c>
      <c r="B130" s="468">
        <v>45874</v>
      </c>
      <c r="C130" s="250" t="s">
        <v>510</v>
      </c>
      <c r="D130" s="469" t="str">
        <f>IFERROR(VLOOKUP(C130,'Base de Monedas'!A:B,2,0),"")</f>
        <v>Dólar estadounidense</v>
      </c>
      <c r="E130" s="266">
        <v>314760736.95999998</v>
      </c>
      <c r="F130" s="250" t="s">
        <v>546</v>
      </c>
      <c r="G130" s="492"/>
      <c r="H130" s="478"/>
      <c r="I130" s="493"/>
      <c r="J130" s="469" t="str">
        <f>IFERROR(VLOOKUP(I130,'Base de Monedas'!A:B,2,0),"")</f>
        <v/>
      </c>
      <c r="K130" s="462">
        <v>309201961.42000002</v>
      </c>
      <c r="L130" s="493" t="s">
        <v>546</v>
      </c>
    </row>
    <row r="131" spans="1:12" ht="15" customHeight="1">
      <c r="A131" s="494" t="s">
        <v>547</v>
      </c>
      <c r="B131" s="468">
        <v>45879</v>
      </c>
      <c r="C131" s="250" t="s">
        <v>510</v>
      </c>
      <c r="D131" s="469" t="str">
        <f>IFERROR(VLOOKUP(C131,'Base de Monedas'!A:B,2,0),"")</f>
        <v>Dólar estadounidense</v>
      </c>
      <c r="E131" s="266">
        <v>782301461.60000002</v>
      </c>
      <c r="F131" s="250" t="s">
        <v>529</v>
      </c>
      <c r="G131" s="492"/>
      <c r="H131" s="478"/>
      <c r="I131" s="493"/>
      <c r="J131" s="469" t="str">
        <f>IFERROR(VLOOKUP(I131,'Base de Monedas'!A:B,2,0),"")</f>
        <v/>
      </c>
      <c r="K131" s="462">
        <v>768485766.95000005</v>
      </c>
      <c r="L131" s="493" t="s">
        <v>529</v>
      </c>
    </row>
    <row r="132" spans="1:12" ht="15" customHeight="1">
      <c r="A132" s="494" t="s">
        <v>548</v>
      </c>
      <c r="B132" s="468">
        <v>45890</v>
      </c>
      <c r="C132" s="250" t="s">
        <v>510</v>
      </c>
      <c r="D132" s="461" t="str">
        <f>IFERROR(VLOOKUP(C132,'Base de Monedas'!A:B,2,0),"")</f>
        <v>Dólar estadounidense</v>
      </c>
      <c r="E132" s="462">
        <v>170429258.40000001</v>
      </c>
      <c r="F132" s="30" t="s">
        <v>529</v>
      </c>
      <c r="G132" s="5"/>
      <c r="H132" s="471"/>
      <c r="I132" s="495"/>
      <c r="J132" s="461" t="str">
        <f>IFERROR(VLOOKUP(I132,'Base de Monedas'!A:B,2,0),"")</f>
        <v/>
      </c>
      <c r="K132" s="465">
        <v>167419423.05000001</v>
      </c>
      <c r="L132" s="495" t="s">
        <v>529</v>
      </c>
    </row>
    <row r="133" spans="1:12" ht="15" customHeight="1">
      <c r="A133" s="494" t="s">
        <v>548</v>
      </c>
      <c r="B133" s="468">
        <v>45892</v>
      </c>
      <c r="C133" s="250" t="s">
        <v>510</v>
      </c>
      <c r="D133" s="469" t="str">
        <f>IFERROR(VLOOKUP(C133,'Base de Monedas'!A:B,2,0),"")</f>
        <v>Dólar estadounidense</v>
      </c>
      <c r="E133" s="462">
        <v>124958302.56</v>
      </c>
      <c r="F133" s="250" t="s">
        <v>529</v>
      </c>
      <c r="G133" s="143"/>
      <c r="H133" s="478"/>
      <c r="I133" s="493"/>
      <c r="J133" s="469" t="str">
        <f>IFERROR(VLOOKUP(I133,'Base de Monedas'!A:B,2,0),"")</f>
        <v/>
      </c>
      <c r="K133" s="462">
        <v>122751498.87</v>
      </c>
      <c r="L133" s="478" t="s">
        <v>529</v>
      </c>
    </row>
    <row r="134" spans="1:12" ht="15" customHeight="1">
      <c r="A134" s="494" t="s">
        <v>548</v>
      </c>
      <c r="B134" s="468">
        <v>45892</v>
      </c>
      <c r="C134" s="250" t="s">
        <v>510</v>
      </c>
      <c r="D134" s="469" t="str">
        <f>IFERROR(VLOOKUP(C134,'Base de Monedas'!A:B,2,0),"")</f>
        <v>Dólar estadounidense</v>
      </c>
      <c r="E134" s="266">
        <v>140305466.72</v>
      </c>
      <c r="F134" s="250" t="s">
        <v>529</v>
      </c>
      <c r="G134" s="492"/>
      <c r="H134" s="478"/>
      <c r="I134" s="478"/>
      <c r="J134" s="469" t="str">
        <f>IFERROR(VLOOKUP(I134,'Base de Monedas'!A:B,2,0),"")</f>
        <v/>
      </c>
      <c r="K134" s="462">
        <v>137827627.19</v>
      </c>
      <c r="L134" s="478" t="s">
        <v>529</v>
      </c>
    </row>
    <row r="135" spans="1:12" ht="15" customHeight="1">
      <c r="A135" s="494" t="s">
        <v>547</v>
      </c>
      <c r="B135" s="468">
        <v>45902</v>
      </c>
      <c r="C135" s="250" t="s">
        <v>510</v>
      </c>
      <c r="D135" s="461" t="str">
        <f>IFERROR(VLOOKUP(C135,'Base de Monedas'!A:B,2,0),"")</f>
        <v>Dólar estadounidense</v>
      </c>
      <c r="E135" s="266">
        <v>271079634.24000001</v>
      </c>
      <c r="F135" s="30" t="s">
        <v>529</v>
      </c>
      <c r="G135" s="5"/>
      <c r="H135" s="471"/>
      <c r="I135" s="495"/>
      <c r="J135" s="461" t="str">
        <f>IFERROR(VLOOKUP(I135,'Base de Monedas'!A:B,2,0),"")</f>
        <v/>
      </c>
      <c r="K135" s="465">
        <v>266292280.97999999</v>
      </c>
      <c r="L135" s="471" t="s">
        <v>529</v>
      </c>
    </row>
    <row r="136" spans="1:12" ht="15" customHeight="1">
      <c r="A136" s="494" t="s">
        <v>547</v>
      </c>
      <c r="B136" s="468">
        <v>45903</v>
      </c>
      <c r="C136" s="250" t="s">
        <v>510</v>
      </c>
      <c r="D136" s="461" t="str">
        <f>IFERROR(VLOOKUP(C136,'Base de Monedas'!A:B,2,0),"")</f>
        <v>Dólar estadounidense</v>
      </c>
      <c r="E136" s="462">
        <v>846145278.08000004</v>
      </c>
      <c r="F136" s="30" t="s">
        <v>529</v>
      </c>
      <c r="G136" s="5"/>
      <c r="H136" s="471"/>
      <c r="I136" s="495"/>
      <c r="J136" s="461" t="str">
        <f>IFERROR(VLOOKUP(I136,'Base de Monedas'!A:B,2,0),"")</f>
        <v/>
      </c>
      <c r="K136" s="465">
        <v>831202081.15999997</v>
      </c>
      <c r="L136" s="471" t="s">
        <v>529</v>
      </c>
    </row>
    <row r="137" spans="1:12" ht="15" customHeight="1">
      <c r="A137" s="494" t="s">
        <v>547</v>
      </c>
      <c r="B137" s="468">
        <v>45904</v>
      </c>
      <c r="C137" s="250" t="s">
        <v>510</v>
      </c>
      <c r="D137" s="469" t="str">
        <f>IFERROR(VLOOKUP(C137,'Base de Monedas'!A:B,2,0),"")</f>
        <v>Dólar estadounidense</v>
      </c>
      <c r="E137" s="266">
        <v>245536343.19999999</v>
      </c>
      <c r="F137" s="250" t="s">
        <v>529</v>
      </c>
      <c r="G137" s="492"/>
      <c r="H137" s="478"/>
      <c r="I137" s="478"/>
      <c r="J137" s="469" t="str">
        <f>IFERROR(VLOOKUP(I137,'Base de Monedas'!A:B,2,0),"")</f>
        <v/>
      </c>
      <c r="K137" s="462">
        <v>241200092.65000001</v>
      </c>
      <c r="L137" s="478" t="s">
        <v>529</v>
      </c>
    </row>
    <row r="138" spans="1:12" ht="15" customHeight="1">
      <c r="A138" s="494" t="s">
        <v>548</v>
      </c>
      <c r="B138" s="468">
        <v>45905</v>
      </c>
      <c r="C138" s="250" t="s">
        <v>510</v>
      </c>
      <c r="D138" s="469" t="str">
        <f>IFERROR(VLOOKUP(C138,'Base de Monedas'!A:B,2,0),"")</f>
        <v>Dólar estadounidense</v>
      </c>
      <c r="E138" s="266">
        <v>447524517.27999997</v>
      </c>
      <c r="F138" s="250" t="s">
        <v>529</v>
      </c>
      <c r="G138" s="492"/>
      <c r="H138" s="478"/>
      <c r="I138" s="493"/>
      <c r="J138" s="469" t="str">
        <f>IFERROR(VLOOKUP(I138,'Base de Monedas'!A:B,2,0),"")</f>
        <v/>
      </c>
      <c r="K138" s="462">
        <v>439621090.81</v>
      </c>
      <c r="L138" s="493" t="s">
        <v>529</v>
      </c>
    </row>
    <row r="139" spans="1:12" ht="15" customHeight="1">
      <c r="A139" s="491" t="s">
        <v>545</v>
      </c>
      <c r="B139" s="468">
        <v>45905</v>
      </c>
      <c r="C139" s="250" t="s">
        <v>510</v>
      </c>
      <c r="D139" s="469" t="str">
        <f>IFERROR(VLOOKUP(C139,'Base de Monedas'!A:B,2,0),"")</f>
        <v>Dólar estadounidense</v>
      </c>
      <c r="E139" s="266">
        <v>316862445.12</v>
      </c>
      <c r="F139" s="250" t="s">
        <v>546</v>
      </c>
      <c r="G139" s="492"/>
      <c r="H139" s="478"/>
      <c r="I139" s="493"/>
      <c r="J139" s="469" t="str">
        <f>IFERROR(VLOOKUP(I139,'Base de Monedas'!A:B,2,0),"")</f>
        <v/>
      </c>
      <c r="K139" s="462">
        <v>311266552.74000001</v>
      </c>
      <c r="L139" s="493" t="s">
        <v>546</v>
      </c>
    </row>
    <row r="140" spans="1:12" ht="15" customHeight="1">
      <c r="A140" s="494" t="s">
        <v>547</v>
      </c>
      <c r="B140" s="468">
        <v>45914</v>
      </c>
      <c r="C140" s="250" t="s">
        <v>510</v>
      </c>
      <c r="D140" s="461" t="str">
        <f>IFERROR(VLOOKUP(C140,'Base de Monedas'!A:B,2,0),"")</f>
        <v>Dólar estadounidense</v>
      </c>
      <c r="E140" s="266">
        <v>107569789.28</v>
      </c>
      <c r="F140" s="30" t="s">
        <v>529</v>
      </c>
      <c r="G140" s="150"/>
      <c r="H140" s="471"/>
      <c r="I140" s="495"/>
      <c r="J140" s="461" t="str">
        <f>IFERROR(VLOOKUP(I140,'Base de Monedas'!A:B,2,0),"")</f>
        <v/>
      </c>
      <c r="K140" s="465">
        <v>105670072.31</v>
      </c>
      <c r="L140" s="495" t="s">
        <v>529</v>
      </c>
    </row>
    <row r="141" spans="1:12" ht="15" customHeight="1">
      <c r="A141" s="494" t="s">
        <v>548</v>
      </c>
      <c r="B141" s="468">
        <v>45917</v>
      </c>
      <c r="C141" s="250" t="s">
        <v>510</v>
      </c>
      <c r="D141" s="469" t="str">
        <f>IFERROR(VLOOKUP(C141,'Base de Monedas'!A:B,2,0),"")</f>
        <v>Dólar estadounidense</v>
      </c>
      <c r="E141" s="266">
        <v>210706941.59999999</v>
      </c>
      <c r="F141" s="250" t="s">
        <v>529</v>
      </c>
      <c r="G141" s="492"/>
      <c r="H141" s="478"/>
      <c r="I141" s="493"/>
      <c r="J141" s="469" t="str">
        <f>IFERROR(VLOOKUP(I141,'Base de Monedas'!A:B,2,0),"")</f>
        <v/>
      </c>
      <c r="K141" s="462">
        <v>206985789.44999999</v>
      </c>
      <c r="L141" s="493" t="s">
        <v>529</v>
      </c>
    </row>
    <row r="142" spans="1:12" ht="15" customHeight="1">
      <c r="A142" s="494" t="s">
        <v>548</v>
      </c>
      <c r="B142" s="468">
        <v>45917</v>
      </c>
      <c r="C142" s="250" t="s">
        <v>510</v>
      </c>
      <c r="D142" s="469" t="str">
        <f>IFERROR(VLOOKUP(C142,'Base de Monedas'!A:B,2,0),"")</f>
        <v>Dólar estadounidense</v>
      </c>
      <c r="E142" s="266">
        <v>151845700</v>
      </c>
      <c r="F142" s="250" t="s">
        <v>529</v>
      </c>
      <c r="G142" s="492"/>
      <c r="H142" s="478"/>
      <c r="I142" s="493"/>
      <c r="J142" s="469" t="str">
        <f>IFERROR(VLOOKUP(I142,'Base de Monedas'!A:B,2,0),"")</f>
        <v/>
      </c>
      <c r="K142" s="462">
        <v>149164056.25</v>
      </c>
      <c r="L142" s="478" t="s">
        <v>529</v>
      </c>
    </row>
    <row r="143" spans="1:12" ht="15" customHeight="1">
      <c r="A143" s="494" t="s">
        <v>548</v>
      </c>
      <c r="B143" s="468">
        <v>45918</v>
      </c>
      <c r="C143" s="250" t="s">
        <v>510</v>
      </c>
      <c r="D143" s="469" t="str">
        <f>IFERROR(VLOOKUP(C143,'Base de Monedas'!A:B,2,0),"")</f>
        <v>Dólar estadounidense</v>
      </c>
      <c r="E143" s="266">
        <v>195318180.80000001</v>
      </c>
      <c r="F143" s="250" t="s">
        <v>529</v>
      </c>
      <c r="G143" s="492"/>
      <c r="H143" s="478"/>
      <c r="I143" s="493"/>
      <c r="J143" s="469" t="str">
        <f>IFERROR(VLOOKUP(I143,'Base de Monedas'!A:B,2,0),"")</f>
        <v/>
      </c>
      <c r="K143" s="462">
        <v>191868799.09999999</v>
      </c>
      <c r="L143" s="493" t="s">
        <v>529</v>
      </c>
    </row>
    <row r="144" spans="1:12" ht="15" customHeight="1">
      <c r="A144" s="494" t="s">
        <v>547</v>
      </c>
      <c r="B144" s="468">
        <v>45920</v>
      </c>
      <c r="C144" s="250" t="s">
        <v>510</v>
      </c>
      <c r="D144" s="469" t="str">
        <f>IFERROR(VLOOKUP(C144,'Base de Monedas'!A:B,2,0),"")</f>
        <v>Dólar estadounidense</v>
      </c>
      <c r="E144" s="266">
        <v>506416337.60000002</v>
      </c>
      <c r="F144" s="250" t="s">
        <v>529</v>
      </c>
      <c r="G144" s="492"/>
      <c r="H144" s="478"/>
      <c r="I144" s="493"/>
      <c r="J144" s="469" t="str">
        <f>IFERROR(VLOOKUP(I144,'Base de Monedas'!A:B,2,0),"")</f>
        <v/>
      </c>
      <c r="K144" s="462">
        <v>497472862.69999999</v>
      </c>
      <c r="L144" s="493" t="s">
        <v>529</v>
      </c>
    </row>
    <row r="145" spans="1:12" ht="15" customHeight="1">
      <c r="A145" s="494" t="s">
        <v>548</v>
      </c>
      <c r="B145" s="468">
        <v>45924</v>
      </c>
      <c r="C145" s="250" t="s">
        <v>510</v>
      </c>
      <c r="D145" s="469" t="str">
        <f>IFERROR(VLOOKUP(C145,'Base de Monedas'!A:B,2,0),"")</f>
        <v>Dólar estadounidense</v>
      </c>
      <c r="E145" s="462">
        <v>297126556</v>
      </c>
      <c r="F145" s="250" t="s">
        <v>529</v>
      </c>
      <c r="G145" s="143"/>
      <c r="H145" s="478"/>
      <c r="I145" s="493"/>
      <c r="J145" s="469" t="str">
        <f>IFERROR(VLOOKUP(I145,'Base de Monedas'!A:B,2,0),"")</f>
        <v/>
      </c>
      <c r="K145" s="462">
        <v>291879205.75</v>
      </c>
      <c r="L145" s="478" t="s">
        <v>529</v>
      </c>
    </row>
    <row r="146" spans="1:12" ht="15" customHeight="1">
      <c r="A146" s="494" t="s">
        <v>547</v>
      </c>
      <c r="B146" s="468">
        <v>45925</v>
      </c>
      <c r="C146" s="250" t="s">
        <v>510</v>
      </c>
      <c r="D146" s="469" t="str">
        <f>IFERROR(VLOOKUP(C146,'Base de Monedas'!A:B,2,0),"")</f>
        <v>Dólar estadounidense</v>
      </c>
      <c r="E146" s="266">
        <v>287289948.63999999</v>
      </c>
      <c r="F146" s="250" t="s">
        <v>529</v>
      </c>
      <c r="G146" s="492"/>
      <c r="H146" s="478"/>
      <c r="I146" s="493"/>
      <c r="J146" s="469" t="str">
        <f>IFERROR(VLOOKUP(I146,'Base de Monedas'!A:B,2,0),"")</f>
        <v/>
      </c>
      <c r="K146" s="462">
        <v>282216316.02999997</v>
      </c>
      <c r="L146" s="493" t="s">
        <v>529</v>
      </c>
    </row>
    <row r="147" spans="1:12" ht="15" customHeight="1">
      <c r="A147" s="494" t="s">
        <v>547</v>
      </c>
      <c r="B147" s="468">
        <v>45926</v>
      </c>
      <c r="C147" s="250" t="s">
        <v>510</v>
      </c>
      <c r="D147" s="461" t="str">
        <f>IFERROR(VLOOKUP(C147,'Base de Monedas'!A:B,2,0),"")</f>
        <v>Dólar estadounidense</v>
      </c>
      <c r="E147" s="266">
        <v>489597642.39999998</v>
      </c>
      <c r="F147" s="30" t="s">
        <v>529</v>
      </c>
      <c r="G147" s="5"/>
      <c r="H147" s="471"/>
      <c r="I147" s="495"/>
      <c r="J147" s="461" t="str">
        <f>IFERROR(VLOOKUP(I147,'Base de Monedas'!A:B,2,0),"")</f>
        <v/>
      </c>
      <c r="K147" s="465">
        <v>480951191.05000001</v>
      </c>
      <c r="L147" s="471" t="s">
        <v>529</v>
      </c>
    </row>
    <row r="148" spans="1:12" ht="15" customHeight="1">
      <c r="A148" s="494" t="s">
        <v>548</v>
      </c>
      <c r="B148" s="468">
        <v>45927</v>
      </c>
      <c r="C148" s="250" t="s">
        <v>510</v>
      </c>
      <c r="D148" s="469" t="str">
        <f>IFERROR(VLOOKUP(C148,'Base de Monedas'!A:B,2,0),"")</f>
        <v>Dólar estadounidense</v>
      </c>
      <c r="E148" s="266">
        <v>195318180.80000001</v>
      </c>
      <c r="F148" s="250" t="s">
        <v>529</v>
      </c>
      <c r="G148" s="492"/>
      <c r="H148" s="478"/>
      <c r="I148" s="493"/>
      <c r="J148" s="469" t="str">
        <f>IFERROR(VLOOKUP(I148,'Base de Monedas'!A:B,2,0),"")</f>
        <v/>
      </c>
      <c r="K148" s="462">
        <v>191868799.09999999</v>
      </c>
      <c r="L148" s="478" t="s">
        <v>529</v>
      </c>
    </row>
    <row r="149" spans="1:12" ht="15" customHeight="1">
      <c r="A149" s="5" t="s">
        <v>547</v>
      </c>
      <c r="B149" s="468">
        <v>45935</v>
      </c>
      <c r="C149" s="250" t="s">
        <v>510</v>
      </c>
      <c r="D149" s="469" t="str">
        <f>IFERROR(VLOOKUP(C149,'Base de Monedas'!A:B,2,0),"")</f>
        <v>Dólar estadounidense</v>
      </c>
      <c r="E149" s="266">
        <v>370401552.31999999</v>
      </c>
      <c r="F149" s="250" t="s">
        <v>529</v>
      </c>
      <c r="G149" s="492"/>
      <c r="H149" s="478"/>
      <c r="I149" s="493"/>
      <c r="J149" s="469" t="str">
        <f>IFERROR(VLOOKUP(I149,'Base de Monedas'!A:B,2,0),"")</f>
        <v/>
      </c>
      <c r="K149" s="462">
        <v>363860142.13999999</v>
      </c>
      <c r="L149" s="493" t="s">
        <v>529</v>
      </c>
    </row>
    <row r="150" spans="1:12" ht="15" customHeight="1">
      <c r="A150" s="143" t="s">
        <v>545</v>
      </c>
      <c r="B150" s="468">
        <v>45935</v>
      </c>
      <c r="C150" s="250" t="s">
        <v>510</v>
      </c>
      <c r="D150" s="469" t="str">
        <f>IFERROR(VLOOKUP(C150,'Base de Monedas'!A:B,2,0),"")</f>
        <v>Dólar estadounidense</v>
      </c>
      <c r="E150" s="266">
        <v>318978045.44</v>
      </c>
      <c r="F150" s="250" t="s">
        <v>549</v>
      </c>
      <c r="G150" s="492"/>
      <c r="H150" s="478"/>
      <c r="I150" s="478"/>
      <c r="J150" s="469" t="str">
        <f>IFERROR(VLOOKUP(I150,'Base de Monedas'!A:B,2,0),"")</f>
        <v/>
      </c>
      <c r="K150" s="462">
        <v>313344790.88</v>
      </c>
      <c r="L150" s="478" t="s">
        <v>549</v>
      </c>
    </row>
    <row r="151" spans="1:12" ht="15" customHeight="1">
      <c r="A151" s="5" t="s">
        <v>547</v>
      </c>
      <c r="B151" s="468">
        <v>45945</v>
      </c>
      <c r="C151" s="250" t="s">
        <v>510</v>
      </c>
      <c r="D151" s="461" t="str">
        <f>IFERROR(VLOOKUP(C151,'Base de Monedas'!A:B,2,0),"")</f>
        <v>Dólar estadounidense</v>
      </c>
      <c r="E151" s="462">
        <v>135303171.36000001</v>
      </c>
      <c r="F151" s="30" t="s">
        <v>529</v>
      </c>
      <c r="G151" s="5"/>
      <c r="H151" s="471"/>
      <c r="I151" s="495"/>
      <c r="J151" s="461" t="str">
        <f>IFERROR(VLOOKUP(I151,'Base de Monedas'!A:B,2,0),"")</f>
        <v/>
      </c>
      <c r="K151" s="465">
        <v>132913673.97</v>
      </c>
      <c r="L151" s="471" t="s">
        <v>529</v>
      </c>
    </row>
    <row r="152" spans="1:12" ht="15" customHeight="1">
      <c r="A152" s="5" t="s">
        <v>547</v>
      </c>
      <c r="B152" s="468">
        <v>45950</v>
      </c>
      <c r="C152" s="250" t="s">
        <v>510</v>
      </c>
      <c r="D152" s="461" t="str">
        <f>IFERROR(VLOOKUP(C152,'Base de Monedas'!A:B,2,0),"")</f>
        <v>Dólar estadounidense</v>
      </c>
      <c r="E152" s="462">
        <v>107569789.28</v>
      </c>
      <c r="F152" s="30" t="s">
        <v>529</v>
      </c>
      <c r="G152" s="5"/>
      <c r="H152" s="471"/>
      <c r="I152" s="495"/>
      <c r="J152" s="461" t="str">
        <f>IFERROR(VLOOKUP(I152,'Base de Monedas'!A:B,2,0),"")</f>
        <v/>
      </c>
      <c r="K152" s="465">
        <v>105670072.31</v>
      </c>
      <c r="L152" s="471" t="s">
        <v>529</v>
      </c>
    </row>
    <row r="153" spans="1:12" ht="15" customHeight="1">
      <c r="A153" s="5" t="s">
        <v>547</v>
      </c>
      <c r="B153" s="468">
        <v>45955</v>
      </c>
      <c r="C153" s="250" t="s">
        <v>510</v>
      </c>
      <c r="D153" s="469" t="str">
        <f>IFERROR(VLOOKUP(C153,'Base de Monedas'!A:B,2,0),"")</f>
        <v>Dólar estadounidense</v>
      </c>
      <c r="E153" s="266">
        <v>304303054.24000001</v>
      </c>
      <c r="F153" s="250" t="s">
        <v>529</v>
      </c>
      <c r="G153" s="492"/>
      <c r="H153" s="478"/>
      <c r="I153" s="493"/>
      <c r="J153" s="469" t="str">
        <f>IFERROR(VLOOKUP(I153,'Base de Monedas'!A:B,2,0),"")</f>
        <v/>
      </c>
      <c r="K153" s="462">
        <v>298928964.73000002</v>
      </c>
      <c r="L153" s="493" t="s">
        <v>529</v>
      </c>
    </row>
    <row r="154" spans="1:12" ht="15" customHeight="1">
      <c r="A154" s="143" t="s">
        <v>545</v>
      </c>
      <c r="B154" s="468">
        <v>45966</v>
      </c>
      <c r="C154" s="250" t="s">
        <v>510</v>
      </c>
      <c r="D154" s="469" t="str">
        <f>IFERROR(VLOOKUP(C154,'Base de Monedas'!A:B,2,0),"")</f>
        <v>Dólar estadounidense</v>
      </c>
      <c r="E154" s="266">
        <v>321107777.44</v>
      </c>
      <c r="F154" s="250" t="s">
        <v>549</v>
      </c>
      <c r="G154" s="492"/>
      <c r="H154" s="478"/>
      <c r="I154" s="493"/>
      <c r="J154" s="469" t="str">
        <f>IFERROR(VLOOKUP(I154,'Base de Monedas'!A:B,2,0),"")</f>
        <v/>
      </c>
      <c r="K154" s="462">
        <v>315436911.13</v>
      </c>
      <c r="L154" s="493" t="s">
        <v>549</v>
      </c>
    </row>
    <row r="155" spans="1:12" ht="15" customHeight="1">
      <c r="A155" s="5" t="s">
        <v>548</v>
      </c>
      <c r="B155" s="468">
        <v>45972</v>
      </c>
      <c r="C155" s="250" t="s">
        <v>510</v>
      </c>
      <c r="D155" s="469" t="str">
        <f>IFERROR(VLOOKUP(C155,'Base de Monedas'!A:B,2,0),"")</f>
        <v>Dólar estadounidense</v>
      </c>
      <c r="E155" s="266">
        <v>151622946.40000001</v>
      </c>
      <c r="F155" s="250" t="s">
        <v>529</v>
      </c>
      <c r="G155" s="143"/>
      <c r="H155" s="478"/>
      <c r="I155" s="493"/>
      <c r="J155" s="469" t="str">
        <f>IFERROR(VLOOKUP(I155,'Base de Monedas'!A:B,2,0),"")</f>
        <v/>
      </c>
      <c r="K155" s="462">
        <v>148945236.55000001</v>
      </c>
      <c r="L155" s="478" t="s">
        <v>529</v>
      </c>
    </row>
    <row r="156" spans="1:12" ht="15" customHeight="1">
      <c r="A156" s="5" t="s">
        <v>548</v>
      </c>
      <c r="B156" s="468">
        <v>45988</v>
      </c>
      <c r="C156" s="250" t="s">
        <v>510</v>
      </c>
      <c r="D156" s="469" t="str">
        <f>IFERROR(VLOOKUP(C156,'Base de Monedas'!A:B,2,0),"")</f>
        <v>Dólar estadounidense</v>
      </c>
      <c r="E156" s="266">
        <v>444075748.63999999</v>
      </c>
      <c r="F156" s="250" t="s">
        <v>529</v>
      </c>
      <c r="G156" s="492"/>
      <c r="H156" s="478"/>
      <c r="I156" s="493"/>
      <c r="J156" s="469" t="str">
        <f>IFERROR(VLOOKUP(I156,'Base de Monedas'!A:B,2,0),"")</f>
        <v/>
      </c>
      <c r="K156" s="462">
        <v>436233228.52999997</v>
      </c>
      <c r="L156" s="478" t="s">
        <v>529</v>
      </c>
    </row>
    <row r="157" spans="1:12" ht="15" customHeight="1">
      <c r="A157" s="143" t="s">
        <v>545</v>
      </c>
      <c r="B157" s="468">
        <v>45996</v>
      </c>
      <c r="C157" s="250" t="s">
        <v>510</v>
      </c>
      <c r="D157" s="469" t="str">
        <f>IFERROR(VLOOKUP(C157,'Base de Monedas'!A:B,2,0),"")</f>
        <v>Dólar estadounidense</v>
      </c>
      <c r="E157" s="266">
        <v>323251561.27999997</v>
      </c>
      <c r="F157" s="250" t="s">
        <v>549</v>
      </c>
      <c r="G157" s="492"/>
      <c r="H157" s="478"/>
      <c r="I157" s="493"/>
      <c r="J157" s="469" t="str">
        <f>IFERROR(VLOOKUP(I157,'Base de Monedas'!A:B,2,0),"")</f>
        <v/>
      </c>
      <c r="K157" s="462">
        <v>317542835.06</v>
      </c>
      <c r="L157" s="493" t="s">
        <v>549</v>
      </c>
    </row>
    <row r="158" spans="1:12" ht="15" customHeight="1">
      <c r="A158" s="143" t="s">
        <v>545</v>
      </c>
      <c r="B158" s="468">
        <v>46027</v>
      </c>
      <c r="C158" s="250" t="s">
        <v>510</v>
      </c>
      <c r="D158" s="469" t="str">
        <f>IFERROR(VLOOKUP(C158,'Base de Monedas'!A:B,2,0),"")</f>
        <v>Dólar estadounidense</v>
      </c>
      <c r="E158" s="266">
        <v>325410115.51999998</v>
      </c>
      <c r="F158" s="250" t="s">
        <v>549</v>
      </c>
      <c r="G158" s="492"/>
      <c r="H158" s="478"/>
      <c r="I158" s="493"/>
      <c r="J158" s="469" t="str">
        <f>IFERROR(VLOOKUP(I158,'Base de Monedas'!A:B,2,0),"")</f>
        <v/>
      </c>
      <c r="K158" s="462" t="s">
        <v>535</v>
      </c>
      <c r="L158" s="493" t="s">
        <v>535</v>
      </c>
    </row>
    <row r="159" spans="1:12" ht="15" customHeight="1">
      <c r="A159" s="143" t="s">
        <v>545</v>
      </c>
      <c r="B159" s="468">
        <v>46058</v>
      </c>
      <c r="C159" s="250" t="s">
        <v>510</v>
      </c>
      <c r="D159" s="469" t="str">
        <f>IFERROR(VLOOKUP(C159,'Base de Monedas'!A:B,2,0),"")</f>
        <v>Dólar estadounidense</v>
      </c>
      <c r="E159" s="266">
        <v>327582641.75999999</v>
      </c>
      <c r="F159" s="250" t="s">
        <v>549</v>
      </c>
      <c r="G159" s="492"/>
      <c r="H159" s="478"/>
      <c r="I159" s="478"/>
      <c r="J159" s="469" t="str">
        <f>IFERROR(VLOOKUP(I159,'Base de Monedas'!A:B,2,0),"")</f>
        <v/>
      </c>
      <c r="K159" s="462" t="s">
        <v>535</v>
      </c>
      <c r="L159" s="478" t="s">
        <v>535</v>
      </c>
    </row>
    <row r="160" spans="1:12" ht="15" customHeight="1">
      <c r="A160" s="5" t="s">
        <v>547</v>
      </c>
      <c r="B160" s="468">
        <v>46082</v>
      </c>
      <c r="C160" s="250" t="s">
        <v>510</v>
      </c>
      <c r="D160" s="461" t="str">
        <f>IFERROR(VLOOKUP(C160,'Base de Monedas'!A:B,2,0),"")</f>
        <v>Dólar estadounidense</v>
      </c>
      <c r="E160" s="266">
        <v>271079634.24000001</v>
      </c>
      <c r="F160" s="30" t="s">
        <v>529</v>
      </c>
      <c r="G160" s="150"/>
      <c r="H160" s="471"/>
      <c r="I160" s="495"/>
      <c r="J160" s="461" t="str">
        <f>IFERROR(VLOOKUP(I160,'Base de Monedas'!A:B,2,0),"")</f>
        <v/>
      </c>
      <c r="K160" s="465" t="s">
        <v>535</v>
      </c>
      <c r="L160" s="495" t="s">
        <v>535</v>
      </c>
    </row>
    <row r="161" spans="1:12" ht="15" customHeight="1">
      <c r="A161" s="5" t="s">
        <v>547</v>
      </c>
      <c r="B161" s="468">
        <v>46083</v>
      </c>
      <c r="C161" s="250" t="s">
        <v>510</v>
      </c>
      <c r="D161" s="461" t="str">
        <f>IFERROR(VLOOKUP(C161,'Base de Monedas'!A:B,2,0),"")</f>
        <v>Dólar estadounidense</v>
      </c>
      <c r="E161" s="266">
        <v>846145278.08000004</v>
      </c>
      <c r="F161" s="30" t="s">
        <v>529</v>
      </c>
      <c r="G161" s="150"/>
      <c r="H161" s="471"/>
      <c r="I161" s="471"/>
      <c r="J161" s="461" t="str">
        <f>IFERROR(VLOOKUP(I161,'Base de Monedas'!A:B,2,0),"")</f>
        <v/>
      </c>
      <c r="K161" s="465" t="s">
        <v>535</v>
      </c>
      <c r="L161" s="471" t="s">
        <v>535</v>
      </c>
    </row>
    <row r="162" spans="1:12" ht="15" customHeight="1">
      <c r="A162" s="143" t="s">
        <v>545</v>
      </c>
      <c r="B162" s="468">
        <v>46086</v>
      </c>
      <c r="C162" s="250" t="s">
        <v>510</v>
      </c>
      <c r="D162" s="469" t="str">
        <f>IFERROR(VLOOKUP(C162,'Base de Monedas'!A:B,2,0),"")</f>
        <v>Dólar estadounidense</v>
      </c>
      <c r="E162" s="266">
        <v>329769858.56</v>
      </c>
      <c r="F162" s="250" t="s">
        <v>549</v>
      </c>
      <c r="G162" s="492"/>
      <c r="H162" s="478"/>
      <c r="I162" s="493"/>
      <c r="J162" s="469" t="str">
        <f>IFERROR(VLOOKUP(I162,'Base de Monedas'!A:B,2,0),"")</f>
        <v/>
      </c>
      <c r="K162" s="462" t="s">
        <v>535</v>
      </c>
      <c r="L162" s="493" t="s">
        <v>535</v>
      </c>
    </row>
    <row r="163" spans="1:12" ht="15" customHeight="1">
      <c r="A163" s="5" t="s">
        <v>547</v>
      </c>
      <c r="B163" s="468">
        <v>46094</v>
      </c>
      <c r="C163" s="250" t="s">
        <v>510</v>
      </c>
      <c r="D163" s="461" t="str">
        <f>IFERROR(VLOOKUP(C163,'Base de Monedas'!A:B,2,0),"")</f>
        <v>Dólar estadounidense</v>
      </c>
      <c r="E163" s="266">
        <v>107569789.28</v>
      </c>
      <c r="F163" s="30" t="s">
        <v>529</v>
      </c>
      <c r="G163" s="150"/>
      <c r="H163" s="471"/>
      <c r="I163" s="495"/>
      <c r="J163" s="461" t="str">
        <f>IFERROR(VLOOKUP(I163,'Base de Monedas'!A:B,2,0),"")</f>
        <v/>
      </c>
      <c r="K163" s="465" t="s">
        <v>535</v>
      </c>
      <c r="L163" s="495" t="s">
        <v>535</v>
      </c>
    </row>
    <row r="164" spans="1:12" ht="15" customHeight="1">
      <c r="A164" s="486" t="s">
        <v>539</v>
      </c>
      <c r="B164" s="487"/>
      <c r="C164" s="151"/>
      <c r="D164" s="150"/>
      <c r="E164" s="266"/>
      <c r="F164" s="150"/>
      <c r="G164" s="5"/>
      <c r="H164" s="488"/>
      <c r="I164" s="151"/>
      <c r="J164" s="461" t="str">
        <f>IFERROR(VLOOKUP(I164,'Base de Monedas'!A:B,2,0),"")</f>
        <v/>
      </c>
      <c r="K164" s="489"/>
      <c r="L164" s="5"/>
    </row>
    <row r="165" spans="1:12" ht="15" customHeight="1">
      <c r="A165" s="490" t="s">
        <v>527</v>
      </c>
      <c r="B165" s="487"/>
      <c r="C165" s="151"/>
      <c r="D165" s="150"/>
      <c r="E165" s="266"/>
      <c r="F165" s="150"/>
      <c r="G165" s="150"/>
      <c r="H165" s="488"/>
      <c r="I165" s="151"/>
      <c r="J165" s="461" t="str">
        <f>IFERROR(VLOOKUP(I165,'Base de Monedas'!A:B,2,0),"")</f>
        <v/>
      </c>
      <c r="K165" s="489"/>
      <c r="L165" s="5"/>
    </row>
    <row r="166" spans="1:12" ht="15" customHeight="1">
      <c r="A166" s="494" t="s">
        <v>548</v>
      </c>
      <c r="B166" s="468"/>
      <c r="C166" s="250" t="s">
        <v>535</v>
      </c>
      <c r="D166" s="461" t="str">
        <f>IFERROR(VLOOKUP(C166,'Base de Monedas'!A:B,2,0),"")</f>
        <v/>
      </c>
      <c r="E166" s="266" t="s">
        <v>535</v>
      </c>
      <c r="F166" s="30" t="s">
        <v>535</v>
      </c>
      <c r="G166" s="150"/>
      <c r="H166" s="468">
        <v>45710</v>
      </c>
      <c r="I166" s="462" t="s">
        <v>510</v>
      </c>
      <c r="J166" s="461" t="str">
        <f>IFERROR(VLOOKUP(I166,'Base de Monedas'!A:B,2,0),"")</f>
        <v>Dólar estadounidense</v>
      </c>
      <c r="K166" s="266">
        <v>1653460.26</v>
      </c>
      <c r="L166" s="250" t="s">
        <v>529</v>
      </c>
    </row>
    <row r="167" spans="1:12" ht="15" customHeight="1">
      <c r="A167" s="494" t="s">
        <v>548</v>
      </c>
      <c r="B167" s="468"/>
      <c r="C167" s="250" t="s">
        <v>535</v>
      </c>
      <c r="D167" s="461" t="str">
        <f>IFERROR(VLOOKUP(C167,'Base de Monedas'!A:B,2,0),"")</f>
        <v/>
      </c>
      <c r="E167" s="266" t="s">
        <v>535</v>
      </c>
      <c r="F167" s="30" t="s">
        <v>535</v>
      </c>
      <c r="G167" s="150"/>
      <c r="H167" s="468">
        <v>45710</v>
      </c>
      <c r="I167" s="462" t="s">
        <v>510</v>
      </c>
      <c r="J167" s="461" t="str">
        <f>IFERROR(VLOOKUP(I167,'Base de Monedas'!A:B,2,0),"")</f>
        <v>Dólar estadounidense</v>
      </c>
      <c r="K167" s="266">
        <v>2889674.92</v>
      </c>
      <c r="L167" s="250" t="s">
        <v>529</v>
      </c>
    </row>
    <row r="168" spans="1:12" ht="15" customHeight="1">
      <c r="A168" s="494" t="s">
        <v>548</v>
      </c>
      <c r="B168" s="468"/>
      <c r="C168" s="250" t="s">
        <v>535</v>
      </c>
      <c r="D168" s="461" t="str">
        <f>IFERROR(VLOOKUP(C168,'Base de Monedas'!A:B,2,0),"")</f>
        <v/>
      </c>
      <c r="E168" s="266" t="s">
        <v>535</v>
      </c>
      <c r="F168" s="30" t="s">
        <v>535</v>
      </c>
      <c r="G168" s="150"/>
      <c r="H168" s="468">
        <v>45712</v>
      </c>
      <c r="I168" s="462" t="s">
        <v>510</v>
      </c>
      <c r="J168" s="461" t="str">
        <f>IFERROR(VLOOKUP(I168,'Base de Monedas'!A:B,2,0),"")</f>
        <v>Dólar estadounidense</v>
      </c>
      <c r="K168" s="266">
        <v>1212292.51</v>
      </c>
      <c r="L168" s="250" t="s">
        <v>529</v>
      </c>
    </row>
    <row r="169" spans="1:12" ht="15" customHeight="1">
      <c r="A169" s="494" t="s">
        <v>548</v>
      </c>
      <c r="B169" s="468"/>
      <c r="C169" s="250" t="s">
        <v>535</v>
      </c>
      <c r="D169" s="461" t="str">
        <f>IFERROR(VLOOKUP(C169,'Base de Monedas'!A:B,2,0),"")</f>
        <v/>
      </c>
      <c r="E169" s="266" t="s">
        <v>535</v>
      </c>
      <c r="F169" s="30" t="s">
        <v>535</v>
      </c>
      <c r="G169" s="150"/>
      <c r="H169" s="468">
        <v>45712</v>
      </c>
      <c r="I169" s="462" t="s">
        <v>510</v>
      </c>
      <c r="J169" s="461" t="str">
        <f>IFERROR(VLOOKUP(I169,'Base de Monedas'!A:B,2,0),"")</f>
        <v>Dólar estadounidense</v>
      </c>
      <c r="K169" s="266">
        <v>1339584.3999999999</v>
      </c>
      <c r="L169" s="250" t="s">
        <v>529</v>
      </c>
    </row>
    <row r="170" spans="1:12" ht="15" customHeight="1">
      <c r="A170" s="494" t="s">
        <v>548</v>
      </c>
      <c r="B170" s="468"/>
      <c r="C170" s="250" t="s">
        <v>535</v>
      </c>
      <c r="D170" s="461" t="str">
        <f>IFERROR(VLOOKUP(C170,'Base de Monedas'!A:B,2,0),"")</f>
        <v/>
      </c>
      <c r="E170" s="266" t="s">
        <v>535</v>
      </c>
      <c r="F170" s="30" t="s">
        <v>535</v>
      </c>
      <c r="G170" s="150"/>
      <c r="H170" s="468">
        <v>45712</v>
      </c>
      <c r="I170" s="462" t="s">
        <v>510</v>
      </c>
      <c r="J170" s="461" t="str">
        <f>IFERROR(VLOOKUP(I170,'Base de Monedas'!A:B,2,0),"")</f>
        <v>Dólar estadounidense</v>
      </c>
      <c r="K170" s="266">
        <v>2118708.02</v>
      </c>
      <c r="L170" s="250" t="s">
        <v>529</v>
      </c>
    </row>
    <row r="171" spans="1:12" ht="15" customHeight="1">
      <c r="A171" s="494" t="s">
        <v>548</v>
      </c>
      <c r="B171" s="468"/>
      <c r="C171" s="250" t="s">
        <v>535</v>
      </c>
      <c r="D171" s="461" t="str">
        <f>IFERROR(VLOOKUP(C171,'Base de Monedas'!A:B,2,0),"")</f>
        <v/>
      </c>
      <c r="E171" s="266" t="s">
        <v>535</v>
      </c>
      <c r="F171" s="30" t="s">
        <v>535</v>
      </c>
      <c r="G171" s="150"/>
      <c r="H171" s="468">
        <v>45712</v>
      </c>
      <c r="I171" s="462" t="s">
        <v>510</v>
      </c>
      <c r="J171" s="461" t="str">
        <f>IFERROR(VLOOKUP(I171,'Base de Monedas'!A:B,2,0),"")</f>
        <v>Dólar estadounidense</v>
      </c>
      <c r="K171" s="266">
        <v>2378938.7599999998</v>
      </c>
      <c r="L171" s="250" t="s">
        <v>529</v>
      </c>
    </row>
    <row r="172" spans="1:12" ht="15" customHeight="1">
      <c r="A172" s="494" t="s">
        <v>548</v>
      </c>
      <c r="B172" s="468"/>
      <c r="C172" s="250" t="s">
        <v>535</v>
      </c>
      <c r="D172" s="461" t="str">
        <f>IFERROR(VLOOKUP(C172,'Base de Monedas'!A:B,2,0),"")</f>
        <v/>
      </c>
      <c r="E172" s="266" t="s">
        <v>535</v>
      </c>
      <c r="F172" s="30" t="s">
        <v>535</v>
      </c>
      <c r="G172" s="150"/>
      <c r="H172" s="468">
        <v>45725</v>
      </c>
      <c r="I172" s="462" t="s">
        <v>510</v>
      </c>
      <c r="J172" s="461" t="str">
        <f>IFERROR(VLOOKUP(I172,'Base de Monedas'!A:B,2,0),"")</f>
        <v>Dólar estadounidense</v>
      </c>
      <c r="K172" s="266">
        <v>4341727.9400000004</v>
      </c>
      <c r="L172" s="250" t="s">
        <v>529</v>
      </c>
    </row>
    <row r="173" spans="1:12" ht="15" customHeight="1">
      <c r="A173" s="494" t="s">
        <v>548</v>
      </c>
      <c r="B173" s="468"/>
      <c r="C173" s="250" t="s">
        <v>535</v>
      </c>
      <c r="D173" s="461" t="str">
        <f>IFERROR(VLOOKUP(C173,'Base de Monedas'!A:B,2,0),"")</f>
        <v/>
      </c>
      <c r="E173" s="266" t="s">
        <v>535</v>
      </c>
      <c r="F173" s="30" t="s">
        <v>535</v>
      </c>
      <c r="G173" s="150"/>
      <c r="H173" s="468">
        <v>45725</v>
      </c>
      <c r="I173" s="462" t="s">
        <v>510</v>
      </c>
      <c r="J173" s="461" t="str">
        <f>IFERROR(VLOOKUP(I173,'Base de Monedas'!A:B,2,0),"")</f>
        <v>Dólar estadounidense</v>
      </c>
      <c r="K173" s="266">
        <v>7587945.6399999997</v>
      </c>
      <c r="L173" s="250" t="s">
        <v>529</v>
      </c>
    </row>
    <row r="174" spans="1:12" ht="15" customHeight="1">
      <c r="A174" s="494" t="s">
        <v>548</v>
      </c>
      <c r="B174" s="468"/>
      <c r="C174" s="250" t="s">
        <v>535</v>
      </c>
      <c r="D174" s="461" t="str">
        <f>IFERROR(VLOOKUP(C174,'Base de Monedas'!A:B,2,0),"")</f>
        <v/>
      </c>
      <c r="E174" s="266" t="s">
        <v>535</v>
      </c>
      <c r="F174" s="30" t="s">
        <v>535</v>
      </c>
      <c r="G174" s="150"/>
      <c r="H174" s="468">
        <v>45737</v>
      </c>
      <c r="I174" s="462" t="s">
        <v>510</v>
      </c>
      <c r="J174" s="461" t="str">
        <f>IFERROR(VLOOKUP(I174,'Base de Monedas'!A:B,2,0),"")</f>
        <v>Dólar estadounidense</v>
      </c>
      <c r="K174" s="266">
        <v>1449700.12</v>
      </c>
      <c r="L174" s="250" t="s">
        <v>529</v>
      </c>
    </row>
    <row r="175" spans="1:12" ht="15" customHeight="1">
      <c r="A175" s="494" t="s">
        <v>548</v>
      </c>
      <c r="B175" s="468"/>
      <c r="C175" s="250" t="s">
        <v>535</v>
      </c>
      <c r="D175" s="461" t="str">
        <f>IFERROR(VLOOKUP(C175,'Base de Monedas'!A:B,2,0),"")</f>
        <v/>
      </c>
      <c r="E175" s="266" t="s">
        <v>535</v>
      </c>
      <c r="F175" s="30" t="s">
        <v>535</v>
      </c>
      <c r="G175" s="150"/>
      <c r="H175" s="468">
        <v>45737</v>
      </c>
      <c r="I175" s="462" t="s">
        <v>510</v>
      </c>
      <c r="J175" s="461" t="str">
        <f>IFERROR(VLOOKUP(I175,'Base de Monedas'!A:B,2,0),"")</f>
        <v>Dólar estadounidense</v>
      </c>
      <c r="K175" s="266">
        <v>2044199.52</v>
      </c>
      <c r="L175" s="250" t="s">
        <v>529</v>
      </c>
    </row>
    <row r="176" spans="1:12" ht="15" customHeight="1">
      <c r="A176" s="494" t="s">
        <v>548</v>
      </c>
      <c r="B176" s="468"/>
      <c r="C176" s="250" t="s">
        <v>535</v>
      </c>
      <c r="D176" s="461" t="str">
        <f>IFERROR(VLOOKUP(C176,'Base de Monedas'!A:B,2,0),"")</f>
        <v/>
      </c>
      <c r="E176" s="266" t="s">
        <v>535</v>
      </c>
      <c r="F176" s="30" t="s">
        <v>535</v>
      </c>
      <c r="G176" s="150"/>
      <c r="H176" s="468">
        <v>45737</v>
      </c>
      <c r="I176" s="462" t="s">
        <v>510</v>
      </c>
      <c r="J176" s="461" t="str">
        <f>IFERROR(VLOOKUP(I176,'Base de Monedas'!A:B,2,0),"")</f>
        <v>Dólar estadounidense</v>
      </c>
      <c r="K176" s="266">
        <v>2574621.61</v>
      </c>
      <c r="L176" s="250" t="s">
        <v>529</v>
      </c>
    </row>
    <row r="177" spans="1:12" ht="15" customHeight="1">
      <c r="A177" s="494" t="s">
        <v>548</v>
      </c>
      <c r="B177" s="468"/>
      <c r="C177" s="250" t="s">
        <v>535</v>
      </c>
      <c r="D177" s="461" t="str">
        <f>IFERROR(VLOOKUP(C177,'Base de Monedas'!A:B,2,0),"")</f>
        <v/>
      </c>
      <c r="E177" s="266" t="s">
        <v>535</v>
      </c>
      <c r="F177" s="30" t="s">
        <v>535</v>
      </c>
      <c r="G177" s="150"/>
      <c r="H177" s="468">
        <v>45737</v>
      </c>
      <c r="I177" s="462" t="s">
        <v>510</v>
      </c>
      <c r="J177" s="461" t="str">
        <f>IFERROR(VLOOKUP(I177,'Base de Monedas'!A:B,2,0),"")</f>
        <v>Dólar estadounidense</v>
      </c>
      <c r="K177" s="266">
        <v>3572643.36</v>
      </c>
      <c r="L177" s="250" t="s">
        <v>529</v>
      </c>
    </row>
    <row r="178" spans="1:12" ht="15" customHeight="1">
      <c r="A178" s="494" t="s">
        <v>548</v>
      </c>
      <c r="B178" s="468"/>
      <c r="C178" s="250" t="s">
        <v>535</v>
      </c>
      <c r="D178" s="461" t="str">
        <f>IFERROR(VLOOKUP(C178,'Base de Monedas'!A:B,2,0),"")</f>
        <v/>
      </c>
      <c r="E178" s="266" t="s">
        <v>535</v>
      </c>
      <c r="F178" s="30" t="s">
        <v>535</v>
      </c>
      <c r="G178" s="150"/>
      <c r="H178" s="468">
        <v>45738</v>
      </c>
      <c r="I178" s="462" t="s">
        <v>510</v>
      </c>
      <c r="J178" s="461" t="str">
        <f>IFERROR(VLOOKUP(I178,'Base de Monedas'!A:B,2,0),"")</f>
        <v>Dólar estadounidense</v>
      </c>
      <c r="K178" s="266">
        <v>1882398.43</v>
      </c>
      <c r="L178" s="250" t="s">
        <v>529</v>
      </c>
    </row>
    <row r="179" spans="1:12" ht="15" customHeight="1">
      <c r="A179" s="494" t="s">
        <v>548</v>
      </c>
      <c r="B179" s="468"/>
      <c r="C179" s="250" t="s">
        <v>535</v>
      </c>
      <c r="D179" s="461" t="str">
        <f>IFERROR(VLOOKUP(C179,'Base de Monedas'!A:B,2,0),"")</f>
        <v/>
      </c>
      <c r="E179" s="266" t="s">
        <v>535</v>
      </c>
      <c r="F179" s="30" t="s">
        <v>535</v>
      </c>
      <c r="G179" s="150"/>
      <c r="H179" s="468">
        <v>45738</v>
      </c>
      <c r="I179" s="462" t="s">
        <v>510</v>
      </c>
      <c r="J179" s="461" t="str">
        <f>IFERROR(VLOOKUP(I179,'Base de Monedas'!A:B,2,0),"")</f>
        <v>Dólar estadounidense</v>
      </c>
      <c r="K179" s="266">
        <v>3311706.75</v>
      </c>
      <c r="L179" s="250" t="s">
        <v>529</v>
      </c>
    </row>
    <row r="180" spans="1:12" ht="15" customHeight="1">
      <c r="A180" s="494" t="s">
        <v>548</v>
      </c>
      <c r="B180" s="468"/>
      <c r="C180" s="250" t="s">
        <v>535</v>
      </c>
      <c r="D180" s="461" t="str">
        <f>IFERROR(VLOOKUP(C180,'Base de Monedas'!A:B,2,0),"")</f>
        <v/>
      </c>
      <c r="E180" s="266" t="s">
        <v>535</v>
      </c>
      <c r="F180" s="30" t="s">
        <v>535</v>
      </c>
      <c r="G180" s="150"/>
      <c r="H180" s="468">
        <v>45744</v>
      </c>
      <c r="I180" s="462" t="s">
        <v>510</v>
      </c>
      <c r="J180" s="461" t="str">
        <f>IFERROR(VLOOKUP(I180,'Base de Monedas'!A:B,2,0),"")</f>
        <v>Dólar estadounidense</v>
      </c>
      <c r="K180" s="266">
        <v>5037951.05</v>
      </c>
      <c r="L180" s="250" t="s">
        <v>529</v>
      </c>
    </row>
    <row r="181" spans="1:12" ht="15" customHeight="1">
      <c r="A181" s="494" t="s">
        <v>548</v>
      </c>
      <c r="B181" s="468"/>
      <c r="C181" s="250" t="s">
        <v>535</v>
      </c>
      <c r="D181" s="461" t="str">
        <f>IFERROR(VLOOKUP(C181,'Base de Monedas'!A:B,2,0),"")</f>
        <v/>
      </c>
      <c r="E181" s="266" t="s">
        <v>535</v>
      </c>
      <c r="F181" s="30" t="s">
        <v>535</v>
      </c>
      <c r="G181" s="150"/>
      <c r="H181" s="468">
        <v>45744</v>
      </c>
      <c r="I181" s="462" t="s">
        <v>510</v>
      </c>
      <c r="J181" s="461" t="str">
        <f>IFERROR(VLOOKUP(I181,'Base de Monedas'!A:B,2,0),"")</f>
        <v>Dólar estadounidense</v>
      </c>
      <c r="K181" s="266">
        <v>2836734.67</v>
      </c>
      <c r="L181" s="250" t="s">
        <v>529</v>
      </c>
    </row>
    <row r="182" spans="1:12" ht="15" customHeight="1">
      <c r="A182" s="494" t="s">
        <v>548</v>
      </c>
      <c r="B182" s="468"/>
      <c r="C182" s="250" t="s">
        <v>535</v>
      </c>
      <c r="D182" s="461" t="str">
        <f>IFERROR(VLOOKUP(C182,'Base de Monedas'!A:B,2,0),"")</f>
        <v/>
      </c>
      <c r="E182" s="266" t="s">
        <v>535</v>
      </c>
      <c r="F182" s="30" t="s">
        <v>535</v>
      </c>
      <c r="G182" s="150"/>
      <c r="H182" s="468">
        <v>45747</v>
      </c>
      <c r="I182" s="462" t="s">
        <v>510</v>
      </c>
      <c r="J182" s="461" t="str">
        <f>IFERROR(VLOOKUP(I182,'Base de Monedas'!A:B,2,0),"")</f>
        <v>Dólar estadounidense</v>
      </c>
      <c r="K182" s="266">
        <v>1882398.43</v>
      </c>
      <c r="L182" s="250" t="s">
        <v>529</v>
      </c>
    </row>
    <row r="183" spans="1:12" ht="15" customHeight="1">
      <c r="A183" s="494" t="s">
        <v>548</v>
      </c>
      <c r="B183" s="468"/>
      <c r="C183" s="250" t="s">
        <v>535</v>
      </c>
      <c r="D183" s="461" t="str">
        <f>IFERROR(VLOOKUP(C183,'Base de Monedas'!A:B,2,0),"")</f>
        <v/>
      </c>
      <c r="E183" s="266" t="s">
        <v>535</v>
      </c>
      <c r="F183" s="30" t="s">
        <v>535</v>
      </c>
      <c r="G183" s="150"/>
      <c r="H183" s="468">
        <v>45747</v>
      </c>
      <c r="I183" s="462" t="s">
        <v>510</v>
      </c>
      <c r="J183" s="461" t="str">
        <f>IFERROR(VLOOKUP(I183,'Base de Monedas'!A:B,2,0),"")</f>
        <v>Dólar estadounidense</v>
      </c>
      <c r="K183" s="266">
        <v>3311706.75</v>
      </c>
      <c r="L183" s="250" t="s">
        <v>529</v>
      </c>
    </row>
    <row r="184" spans="1:12" ht="15" customHeight="1">
      <c r="A184" s="494" t="s">
        <v>548</v>
      </c>
      <c r="B184" s="468">
        <v>45792</v>
      </c>
      <c r="C184" s="250" t="s">
        <v>510</v>
      </c>
      <c r="D184" s="461" t="str">
        <f>IFERROR(VLOOKUP(C184,'Base de Monedas'!A:B,2,0),"")</f>
        <v>Dólar estadounidense</v>
      </c>
      <c r="E184" s="266">
        <v>1473606.88</v>
      </c>
      <c r="F184" s="30" t="s">
        <v>529</v>
      </c>
      <c r="G184" s="150"/>
      <c r="H184" s="468">
        <v>45792</v>
      </c>
      <c r="I184" s="462" t="s">
        <v>510</v>
      </c>
      <c r="J184" s="461" t="str">
        <f>IFERROR(VLOOKUP(I184,'Base de Monedas'!A:B,2,0),"")</f>
        <v>Dólar estadounidense</v>
      </c>
      <c r="K184" s="266">
        <v>1447582.51</v>
      </c>
      <c r="L184" s="250" t="s">
        <v>529</v>
      </c>
    </row>
    <row r="185" spans="1:12" ht="15" customHeight="1">
      <c r="A185" s="494" t="s">
        <v>548</v>
      </c>
      <c r="B185" s="468">
        <v>45792</v>
      </c>
      <c r="C185" s="250" t="s">
        <v>510</v>
      </c>
      <c r="D185" s="461" t="str">
        <f>IFERROR(VLOOKUP(C185,'Base de Monedas'!A:B,2,0),"")</f>
        <v>Dólar estadounidense</v>
      </c>
      <c r="E185" s="266">
        <v>2617075.36</v>
      </c>
      <c r="F185" s="30" t="s">
        <v>529</v>
      </c>
      <c r="G185" s="150"/>
      <c r="H185" s="468">
        <v>45792</v>
      </c>
      <c r="I185" s="462" t="s">
        <v>510</v>
      </c>
      <c r="J185" s="461" t="str">
        <f>IFERROR(VLOOKUP(I185,'Base de Monedas'!A:B,2,0),"")</f>
        <v>Dólar estadounidense</v>
      </c>
      <c r="K185" s="266">
        <v>2570856.9700000002</v>
      </c>
      <c r="L185" s="250" t="s">
        <v>529</v>
      </c>
    </row>
    <row r="186" spans="1:12" ht="15" customHeight="1">
      <c r="A186" s="494" t="s">
        <v>548</v>
      </c>
      <c r="B186" s="468">
        <v>45808</v>
      </c>
      <c r="C186" s="250" t="s">
        <v>510</v>
      </c>
      <c r="D186" s="461" t="str">
        <f>IFERROR(VLOOKUP(C186,'Base de Monedas'!A:B,2,0),"")</f>
        <v>Dólar estadounidense</v>
      </c>
      <c r="E186" s="266">
        <v>4315990.72</v>
      </c>
      <c r="F186" s="30" t="s">
        <v>529</v>
      </c>
      <c r="G186" s="150"/>
      <c r="H186" s="468">
        <v>45808</v>
      </c>
      <c r="I186" s="462" t="s">
        <v>510</v>
      </c>
      <c r="J186" s="461" t="str">
        <f>IFERROR(VLOOKUP(I186,'Base de Monedas'!A:B,2,0),"")</f>
        <v>Dólar estadounidense</v>
      </c>
      <c r="K186" s="266">
        <v>4239768.9400000004</v>
      </c>
      <c r="L186" s="250" t="s">
        <v>529</v>
      </c>
    </row>
    <row r="187" spans="1:12" ht="15" customHeight="1">
      <c r="A187" s="494" t="s">
        <v>548</v>
      </c>
      <c r="B187" s="468">
        <v>45808</v>
      </c>
      <c r="C187" s="250" t="s">
        <v>510</v>
      </c>
      <c r="D187" s="461" t="str">
        <f>IFERROR(VLOOKUP(C187,'Base de Monedas'!A:B,2,0),"")</f>
        <v>Dólar estadounidense</v>
      </c>
      <c r="E187" s="266">
        <v>7664879.5199999996</v>
      </c>
      <c r="F187" s="30" t="s">
        <v>529</v>
      </c>
      <c r="G187" s="150"/>
      <c r="H187" s="468">
        <v>45808</v>
      </c>
      <c r="I187" s="462" t="s">
        <v>510</v>
      </c>
      <c r="J187" s="461" t="str">
        <f>IFERROR(VLOOKUP(I187,'Base de Monedas'!A:B,2,0),"")</f>
        <v>Dólar estadounidense</v>
      </c>
      <c r="K187" s="266">
        <v>7529515.29</v>
      </c>
      <c r="L187" s="250" t="s">
        <v>529</v>
      </c>
    </row>
    <row r="188" spans="1:12" ht="15" customHeight="1">
      <c r="A188" s="494" t="s">
        <v>548</v>
      </c>
      <c r="B188" s="468">
        <v>45890</v>
      </c>
      <c r="C188" s="250" t="s">
        <v>510</v>
      </c>
      <c r="D188" s="461" t="str">
        <f>IFERROR(VLOOKUP(C188,'Base de Monedas'!A:B,2,0),"")</f>
        <v>Dólar estadounidense</v>
      </c>
      <c r="E188" s="266">
        <v>841593.44</v>
      </c>
      <c r="F188" s="30" t="s">
        <v>529</v>
      </c>
      <c r="G188" s="150"/>
      <c r="H188" s="468">
        <v>45890</v>
      </c>
      <c r="I188" s="462" t="s">
        <v>510</v>
      </c>
      <c r="J188" s="461" t="str">
        <f>IFERROR(VLOOKUP(I188,'Base de Monedas'!A:B,2,0),"")</f>
        <v>Dólar estadounidense</v>
      </c>
      <c r="K188" s="266">
        <v>826730.63</v>
      </c>
      <c r="L188" s="250" t="s">
        <v>529</v>
      </c>
    </row>
    <row r="189" spans="1:12" ht="15" customHeight="1">
      <c r="A189" s="494" t="s">
        <v>548</v>
      </c>
      <c r="B189" s="468">
        <v>45892</v>
      </c>
      <c r="C189" s="250" t="s">
        <v>510</v>
      </c>
      <c r="D189" s="461" t="str">
        <f>IFERROR(VLOOKUP(C189,'Base de Monedas'!A:B,2,0),"")</f>
        <v>Dólar estadounidense</v>
      </c>
      <c r="E189" s="266">
        <v>681833.6</v>
      </c>
      <c r="F189" s="30" t="s">
        <v>529</v>
      </c>
      <c r="G189" s="150"/>
      <c r="H189" s="468">
        <v>45892</v>
      </c>
      <c r="I189" s="462" t="s">
        <v>510</v>
      </c>
      <c r="J189" s="461" t="str">
        <f>IFERROR(VLOOKUP(I189,'Base de Monedas'!A:B,2,0),"")</f>
        <v>Dólar estadounidense</v>
      </c>
      <c r="K189" s="266">
        <v>669792.19999999995</v>
      </c>
      <c r="L189" s="250" t="s">
        <v>529</v>
      </c>
    </row>
    <row r="190" spans="1:12" ht="15" customHeight="1">
      <c r="A190" s="494" t="s">
        <v>548</v>
      </c>
      <c r="B190" s="468">
        <v>45892</v>
      </c>
      <c r="C190" s="250" t="s">
        <v>510</v>
      </c>
      <c r="D190" s="469" t="str">
        <f>IFERROR(VLOOKUP(C190,'Base de Monedas'!A:B,2,0),"")</f>
        <v>Dólar estadounidense</v>
      </c>
      <c r="E190" s="266">
        <v>617084.36</v>
      </c>
      <c r="F190" s="250" t="s">
        <v>529</v>
      </c>
      <c r="G190" s="492"/>
      <c r="H190" s="468">
        <v>45892</v>
      </c>
      <c r="I190" s="462" t="s">
        <v>510</v>
      </c>
      <c r="J190" s="469" t="str">
        <f>IFERROR(VLOOKUP(I190,'Base de Monedas'!A:B,2,0),"")</f>
        <v>Dólar estadounidense</v>
      </c>
      <c r="K190" s="266">
        <v>606186.47</v>
      </c>
      <c r="L190" s="250" t="s">
        <v>529</v>
      </c>
    </row>
    <row r="191" spans="1:12" ht="15" customHeight="1">
      <c r="A191" s="494" t="s">
        <v>548</v>
      </c>
      <c r="B191" s="468">
        <v>45905</v>
      </c>
      <c r="C191" s="250" t="s">
        <v>510</v>
      </c>
      <c r="D191" s="469" t="str">
        <f>IFERROR(VLOOKUP(C191,'Base de Monedas'!A:B,2,0),"")</f>
        <v>Dólar estadounidense</v>
      </c>
      <c r="E191" s="266">
        <v>2209891.36</v>
      </c>
      <c r="F191" s="250" t="s">
        <v>529</v>
      </c>
      <c r="G191" s="492"/>
      <c r="H191" s="468">
        <v>45905</v>
      </c>
      <c r="I191" s="462" t="s">
        <v>510</v>
      </c>
      <c r="J191" s="469" t="str">
        <f>IFERROR(VLOOKUP(I191,'Base de Monedas'!A:B,2,0),"")</f>
        <v>Dólar estadounidense</v>
      </c>
      <c r="K191" s="266">
        <v>2170863.9700000002</v>
      </c>
      <c r="L191" s="250" t="s">
        <v>529</v>
      </c>
    </row>
    <row r="192" spans="1:12" ht="15" customHeight="1">
      <c r="A192" s="494" t="s">
        <v>548</v>
      </c>
      <c r="B192" s="468">
        <v>45917</v>
      </c>
      <c r="C192" s="250" t="s">
        <v>510</v>
      </c>
      <c r="D192" s="469" t="str">
        <f>IFERROR(VLOOKUP(C192,'Base de Monedas'!A:B,2,0),"")</f>
        <v>Dólar estadounidense</v>
      </c>
      <c r="E192" s="266">
        <v>1040474.88</v>
      </c>
      <c r="F192" s="250" t="s">
        <v>529</v>
      </c>
      <c r="G192" s="492"/>
      <c r="H192" s="468">
        <v>45917</v>
      </c>
      <c r="I192" s="462" t="s">
        <v>510</v>
      </c>
      <c r="J192" s="469" t="str">
        <f>IFERROR(VLOOKUP(I192,'Base de Monedas'!A:B,2,0),"")</f>
        <v>Dólar estadounidense</v>
      </c>
      <c r="K192" s="266">
        <v>1022099.76</v>
      </c>
      <c r="L192" s="250" t="s">
        <v>529</v>
      </c>
    </row>
    <row r="193" spans="1:12" ht="15" customHeight="1">
      <c r="A193" s="494" t="s">
        <v>548</v>
      </c>
      <c r="B193" s="468">
        <v>45917</v>
      </c>
      <c r="C193" s="250" t="s">
        <v>510</v>
      </c>
      <c r="D193" s="469" t="str">
        <f>IFERROR(VLOOKUP(C193,'Base de Monedas'!A:B,2,0),"")</f>
        <v>Dólar estadounidense</v>
      </c>
      <c r="E193" s="266">
        <v>737881.28</v>
      </c>
      <c r="F193" s="250" t="s">
        <v>529</v>
      </c>
      <c r="G193" s="492"/>
      <c r="H193" s="468">
        <v>45917</v>
      </c>
      <c r="I193" s="462" t="s">
        <v>510</v>
      </c>
      <c r="J193" s="469" t="str">
        <f>IFERROR(VLOOKUP(I193,'Base de Monedas'!A:B,2,0),"")</f>
        <v>Dólar estadounidense</v>
      </c>
      <c r="K193" s="266">
        <v>724850.06</v>
      </c>
      <c r="L193" s="250" t="s">
        <v>529</v>
      </c>
    </row>
    <row r="194" spans="1:12" ht="15" customHeight="1">
      <c r="A194" s="494" t="s">
        <v>548</v>
      </c>
      <c r="B194" s="468">
        <v>45918</v>
      </c>
      <c r="C194" s="250" t="s">
        <v>510</v>
      </c>
      <c r="D194" s="469" t="str">
        <f>IFERROR(VLOOKUP(C194,'Base de Monedas'!A:B,2,0),"")</f>
        <v>Dólar estadounidense</v>
      </c>
      <c r="E194" s="266">
        <v>958159.84</v>
      </c>
      <c r="F194" s="250" t="s">
        <v>529</v>
      </c>
      <c r="G194" s="492"/>
      <c r="H194" s="468">
        <v>45918</v>
      </c>
      <c r="I194" s="462" t="s">
        <v>510</v>
      </c>
      <c r="J194" s="469" t="str">
        <f>IFERROR(VLOOKUP(I194,'Base de Monedas'!A:B,2,0),"")</f>
        <v>Dólar estadounidense</v>
      </c>
      <c r="K194" s="266">
        <v>941238.43</v>
      </c>
      <c r="L194" s="250" t="s">
        <v>529</v>
      </c>
    </row>
    <row r="195" spans="1:12" ht="15" customHeight="1">
      <c r="A195" s="494" t="s">
        <v>548</v>
      </c>
      <c r="B195" s="468">
        <v>45924</v>
      </c>
      <c r="C195" s="250" t="s">
        <v>510</v>
      </c>
      <c r="D195" s="469" t="str">
        <f>IFERROR(VLOOKUP(C195,'Base de Monedas'!A:B,2,0),"")</f>
        <v>Dólar estadounidense</v>
      </c>
      <c r="E195" s="266">
        <v>1443906.4</v>
      </c>
      <c r="F195" s="250" t="s">
        <v>529</v>
      </c>
      <c r="G195" s="492"/>
      <c r="H195" s="468">
        <v>45924</v>
      </c>
      <c r="I195" s="462" t="s">
        <v>510</v>
      </c>
      <c r="J195" s="469" t="str">
        <f>IFERROR(VLOOKUP(I195,'Base de Monedas'!A:B,2,0),"")</f>
        <v>Dólar estadounidense</v>
      </c>
      <c r="K195" s="266">
        <v>1418406.55</v>
      </c>
      <c r="L195" s="250" t="s">
        <v>529</v>
      </c>
    </row>
    <row r="196" spans="1:12" ht="15" customHeight="1">
      <c r="A196" s="494" t="s">
        <v>548</v>
      </c>
      <c r="B196" s="468">
        <v>45927</v>
      </c>
      <c r="C196" s="250" t="s">
        <v>510</v>
      </c>
      <c r="D196" s="469" t="str">
        <f>IFERROR(VLOOKUP(C196,'Base de Monedas'!A:B,2,0),"")</f>
        <v>Dólar estadounidense</v>
      </c>
      <c r="E196" s="266">
        <v>958159.84</v>
      </c>
      <c r="F196" s="250" t="s">
        <v>529</v>
      </c>
      <c r="G196" s="492"/>
      <c r="H196" s="468">
        <v>45927</v>
      </c>
      <c r="I196" s="462" t="s">
        <v>510</v>
      </c>
      <c r="J196" s="469" t="str">
        <f>IFERROR(VLOOKUP(I196,'Base de Monedas'!A:B,2,0),"")</f>
        <v>Dólar estadounidense</v>
      </c>
      <c r="K196" s="266">
        <v>941238.43</v>
      </c>
      <c r="L196" s="250" t="s">
        <v>529</v>
      </c>
    </row>
    <row r="197" spans="1:12" ht="15" customHeight="1">
      <c r="A197" s="494" t="s">
        <v>548</v>
      </c>
      <c r="B197" s="468">
        <v>45972</v>
      </c>
      <c r="C197" s="250" t="s">
        <v>510</v>
      </c>
      <c r="D197" s="469" t="str">
        <f>IFERROR(VLOOKUP(C197,'Base de Monedas'!A:B,2,0),"")</f>
        <v>Dólar estadounidense</v>
      </c>
      <c r="E197" s="266">
        <v>736843.36</v>
      </c>
      <c r="F197" s="250" t="s">
        <v>529</v>
      </c>
      <c r="G197" s="492"/>
      <c r="H197" s="468">
        <v>45972</v>
      </c>
      <c r="I197" s="462" t="s">
        <v>510</v>
      </c>
      <c r="J197" s="469" t="str">
        <f>IFERROR(VLOOKUP(I197,'Base de Monedas'!A:B,2,0),"")</f>
        <v>Dólar estadounidense</v>
      </c>
      <c r="K197" s="266">
        <v>723830.47</v>
      </c>
      <c r="L197" s="250" t="s">
        <v>529</v>
      </c>
    </row>
    <row r="198" spans="1:12" ht="15" customHeight="1">
      <c r="A198" s="494" t="s">
        <v>548</v>
      </c>
      <c r="B198" s="468">
        <v>45988</v>
      </c>
      <c r="C198" s="250" t="s">
        <v>510</v>
      </c>
      <c r="D198" s="469" t="str">
        <f>IFERROR(VLOOKUP(C198,'Base de Monedas'!A:B,2,0),"")</f>
        <v>Dólar estadounidense</v>
      </c>
      <c r="E198" s="266">
        <v>2157995.36</v>
      </c>
      <c r="F198" s="250" t="s">
        <v>529</v>
      </c>
      <c r="G198" s="492"/>
      <c r="H198" s="468">
        <v>45988</v>
      </c>
      <c r="I198" s="462" t="s">
        <v>510</v>
      </c>
      <c r="J198" s="469" t="str">
        <f>IFERROR(VLOOKUP(I198,'Base de Monedas'!A:B,2,0),"")</f>
        <v>Dólar estadounidense</v>
      </c>
      <c r="K198" s="266">
        <v>2119884.4700000002</v>
      </c>
      <c r="L198" s="250" t="s">
        <v>529</v>
      </c>
    </row>
    <row r="199" spans="1:12" ht="15" customHeight="1">
      <c r="A199" s="491" t="s">
        <v>547</v>
      </c>
      <c r="B199" s="468"/>
      <c r="C199" s="250"/>
      <c r="D199" s="469" t="str">
        <f>IFERROR(VLOOKUP(C199,'Base de Monedas'!A:B,2,0),"")</f>
        <v/>
      </c>
      <c r="E199" s="266"/>
      <c r="F199" s="250"/>
      <c r="G199" s="492"/>
      <c r="H199" s="468">
        <v>45722</v>
      </c>
      <c r="I199" s="462" t="s">
        <v>510</v>
      </c>
      <c r="J199" s="469" t="str">
        <f>IFERROR(VLOOKUP(I199,'Base de Monedas'!A:B,2,0),"")</f>
        <v>Dólar estadounidense</v>
      </c>
      <c r="K199" s="266">
        <v>8075544.9500000002</v>
      </c>
      <c r="L199" s="250" t="s">
        <v>529</v>
      </c>
    </row>
    <row r="200" spans="1:12" ht="15" customHeight="1">
      <c r="A200" s="491" t="s">
        <v>547</v>
      </c>
      <c r="B200" s="468"/>
      <c r="C200" s="250"/>
      <c r="D200" s="469" t="str">
        <f>IFERROR(VLOOKUP(C200,'Base de Monedas'!A:B,2,0),"")</f>
        <v/>
      </c>
      <c r="E200" s="266"/>
      <c r="F200" s="250"/>
      <c r="G200" s="492"/>
      <c r="H200" s="468">
        <v>45722</v>
      </c>
      <c r="I200" s="462" t="s">
        <v>510</v>
      </c>
      <c r="J200" s="469" t="str">
        <f>IFERROR(VLOOKUP(I200,'Base de Monedas'!A:B,2,0),"")</f>
        <v>Dólar estadounidense</v>
      </c>
      <c r="K200" s="266">
        <v>18385090.02</v>
      </c>
      <c r="L200" s="250" t="s">
        <v>529</v>
      </c>
    </row>
    <row r="201" spans="1:12" ht="15" customHeight="1">
      <c r="A201" s="491" t="s">
        <v>547</v>
      </c>
      <c r="B201" s="468"/>
      <c r="C201" s="250"/>
      <c r="D201" s="469" t="str">
        <f>IFERROR(VLOOKUP(C201,'Base de Monedas'!A:B,2,0),"")</f>
        <v/>
      </c>
      <c r="E201" s="266"/>
      <c r="F201" s="250"/>
      <c r="G201" s="492"/>
      <c r="H201" s="468">
        <v>45723</v>
      </c>
      <c r="I201" s="462" t="s">
        <v>510</v>
      </c>
      <c r="J201" s="469" t="str">
        <f>IFERROR(VLOOKUP(I201,'Base de Monedas'!A:B,2,0),"")</f>
        <v>Dólar estadounidense</v>
      </c>
      <c r="K201" s="266">
        <v>25070698.510000002</v>
      </c>
      <c r="L201" s="250" t="s">
        <v>529</v>
      </c>
    </row>
    <row r="202" spans="1:12" ht="15" customHeight="1">
      <c r="A202" s="491" t="s">
        <v>547</v>
      </c>
      <c r="B202" s="468"/>
      <c r="C202" s="250"/>
      <c r="D202" s="469" t="str">
        <f>IFERROR(VLOOKUP(C202,'Base de Monedas'!A:B,2,0),"")</f>
        <v/>
      </c>
      <c r="E202" s="266"/>
      <c r="F202" s="250"/>
      <c r="G202" s="492"/>
      <c r="H202" s="468">
        <v>45723</v>
      </c>
      <c r="I202" s="462" t="s">
        <v>510</v>
      </c>
      <c r="J202" s="469" t="str">
        <f>IFERROR(VLOOKUP(I202,'Base de Monedas'!A:B,2,0),"")</f>
        <v>Dólar estadounidense</v>
      </c>
      <c r="K202" s="266">
        <v>57387074.140000001</v>
      </c>
      <c r="L202" s="250" t="s">
        <v>529</v>
      </c>
    </row>
    <row r="203" spans="1:12" ht="15" customHeight="1">
      <c r="A203" s="491" t="s">
        <v>547</v>
      </c>
      <c r="B203" s="468"/>
      <c r="C203" s="250"/>
      <c r="D203" s="469" t="str">
        <f>IFERROR(VLOOKUP(C203,'Base de Monedas'!A:B,2,0),"")</f>
        <v/>
      </c>
      <c r="E203" s="266"/>
      <c r="F203" s="250"/>
      <c r="G203" s="492"/>
      <c r="H203" s="468">
        <v>45734</v>
      </c>
      <c r="I203" s="462" t="s">
        <v>510</v>
      </c>
      <c r="J203" s="469" t="str">
        <f>IFERROR(VLOOKUP(I203,'Base de Monedas'!A:B,2,0),"")</f>
        <v>Dólar estadounidense</v>
      </c>
      <c r="K203" s="266">
        <v>3187238.34</v>
      </c>
      <c r="L203" s="250" t="s">
        <v>529</v>
      </c>
    </row>
    <row r="204" spans="1:12" ht="15" customHeight="1">
      <c r="A204" s="491" t="s">
        <v>547</v>
      </c>
      <c r="B204" s="468"/>
      <c r="C204" s="250"/>
      <c r="D204" s="469" t="str">
        <f>IFERROR(VLOOKUP(C204,'Base de Monedas'!A:B,2,0),"")</f>
        <v/>
      </c>
      <c r="E204" s="266"/>
      <c r="F204" s="250"/>
      <c r="G204" s="492"/>
      <c r="H204" s="468">
        <v>45734</v>
      </c>
      <c r="I204" s="462" t="s">
        <v>510</v>
      </c>
      <c r="J204" s="469" t="str">
        <f>IFERROR(VLOOKUP(I204,'Base de Monedas'!A:B,2,0),"")</f>
        <v>Dólar estadounidense</v>
      </c>
      <c r="K204" s="266">
        <v>7295558.5999999996</v>
      </c>
      <c r="L204" s="250" t="s">
        <v>529</v>
      </c>
    </row>
    <row r="205" spans="1:12" ht="15" customHeight="1">
      <c r="A205" s="491" t="s">
        <v>547</v>
      </c>
      <c r="B205" s="468"/>
      <c r="C205" s="250"/>
      <c r="D205" s="469" t="str">
        <f>IFERROR(VLOOKUP(C205,'Base de Monedas'!A:B,2,0),"")</f>
        <v/>
      </c>
      <c r="E205" s="266"/>
      <c r="F205" s="250"/>
      <c r="G205" s="492"/>
      <c r="H205" s="468">
        <v>45746</v>
      </c>
      <c r="I205" s="462" t="s">
        <v>510</v>
      </c>
      <c r="J205" s="469" t="str">
        <f>IFERROR(VLOOKUP(I205,'Base de Monedas'!A:B,2,0),"")</f>
        <v>Dólar estadounidense</v>
      </c>
      <c r="K205" s="266">
        <v>4718584.09</v>
      </c>
      <c r="L205" s="250" t="s">
        <v>529</v>
      </c>
    </row>
    <row r="206" spans="1:12" ht="15" customHeight="1">
      <c r="A206" s="491" t="s">
        <v>547</v>
      </c>
      <c r="B206" s="468"/>
      <c r="C206" s="250"/>
      <c r="D206" s="469" t="str">
        <f>IFERROR(VLOOKUP(C206,'Base de Monedas'!A:B,2,0),"")</f>
        <v/>
      </c>
      <c r="E206" s="266"/>
      <c r="F206" s="250"/>
      <c r="G206" s="492"/>
      <c r="H206" s="468">
        <v>45746</v>
      </c>
      <c r="I206" s="462" t="s">
        <v>510</v>
      </c>
      <c r="J206" s="469" t="str">
        <f>IFERROR(VLOOKUP(I206,'Base de Monedas'!A:B,2,0),"")</f>
        <v>Dólar estadounidense</v>
      </c>
      <c r="K206" s="266">
        <v>17219384.93</v>
      </c>
      <c r="L206" s="250" t="s">
        <v>529</v>
      </c>
    </row>
    <row r="207" spans="1:12" ht="15" customHeight="1">
      <c r="A207" s="491" t="s">
        <v>547</v>
      </c>
      <c r="B207" s="468">
        <v>45765</v>
      </c>
      <c r="C207" s="250" t="s">
        <v>510</v>
      </c>
      <c r="D207" s="469" t="str">
        <f>IFERROR(VLOOKUP(C207,'Base de Monedas'!A:B,2,0),"")</f>
        <v>Dólar estadounidense</v>
      </c>
      <c r="E207" s="266">
        <v>4103217.12</v>
      </c>
      <c r="F207" s="250" t="s">
        <v>529</v>
      </c>
      <c r="G207" s="492"/>
      <c r="H207" s="468">
        <v>45765</v>
      </c>
      <c r="I207" s="462" t="s">
        <v>510</v>
      </c>
      <c r="J207" s="469" t="str">
        <f>IFERROR(VLOOKUP(I207,'Base de Monedas'!A:B,2,0),"")</f>
        <v>Dólar estadounidense</v>
      </c>
      <c r="K207" s="266">
        <v>4030752.99</v>
      </c>
      <c r="L207" s="250" t="s">
        <v>529</v>
      </c>
    </row>
    <row r="208" spans="1:12" ht="15" customHeight="1">
      <c r="A208" s="491" t="s">
        <v>547</v>
      </c>
      <c r="B208" s="468">
        <v>45765</v>
      </c>
      <c r="C208" s="250" t="s">
        <v>510</v>
      </c>
      <c r="D208" s="469" t="str">
        <f>IFERROR(VLOOKUP(C208,'Base de Monedas'!A:B,2,0),"")</f>
        <v>Dólar estadounidense</v>
      </c>
      <c r="E208" s="266">
        <v>9341519.5199999996</v>
      </c>
      <c r="F208" s="250" t="s">
        <v>529</v>
      </c>
      <c r="G208" s="492"/>
      <c r="H208" s="468">
        <v>45765</v>
      </c>
      <c r="I208" s="462" t="s">
        <v>510</v>
      </c>
      <c r="J208" s="469" t="str">
        <f>IFERROR(VLOOKUP(I208,'Base de Monedas'!A:B,2,0),"")</f>
        <v>Dólar estadounidense</v>
      </c>
      <c r="K208" s="266">
        <v>9176545.2899999991</v>
      </c>
      <c r="L208" s="250" t="s">
        <v>529</v>
      </c>
    </row>
    <row r="209" spans="1:12" ht="15" customHeight="1">
      <c r="A209" s="491" t="s">
        <v>547</v>
      </c>
      <c r="B209" s="468">
        <v>45770</v>
      </c>
      <c r="C209" s="250" t="s">
        <v>510</v>
      </c>
      <c r="D209" s="469" t="str">
        <f>IFERROR(VLOOKUP(C209,'Base de Monedas'!A:B,2,0),"")</f>
        <v>Dólar estadounidense</v>
      </c>
      <c r="E209" s="266">
        <v>3244537.92</v>
      </c>
      <c r="F209" s="250" t="s">
        <v>529</v>
      </c>
      <c r="G209" s="492"/>
      <c r="H209" s="468">
        <v>45770</v>
      </c>
      <c r="I209" s="462" t="s">
        <v>510</v>
      </c>
      <c r="J209" s="469" t="str">
        <f>IFERROR(VLOOKUP(I209,'Base de Monedas'!A:B,2,0),"")</f>
        <v>Dólar estadounidense</v>
      </c>
      <c r="K209" s="266">
        <v>3187238.34</v>
      </c>
      <c r="L209" s="250" t="s">
        <v>529</v>
      </c>
    </row>
    <row r="210" spans="1:12" ht="15" customHeight="1">
      <c r="A210" s="491" t="s">
        <v>547</v>
      </c>
      <c r="B210" s="468">
        <v>45770</v>
      </c>
      <c r="C210" s="250" t="s">
        <v>510</v>
      </c>
      <c r="D210" s="469" t="str">
        <f>IFERROR(VLOOKUP(C210,'Base de Monedas'!A:B,2,0),"")</f>
        <v>Dólar estadounidense</v>
      </c>
      <c r="E210" s="266">
        <v>7426716.7999999998</v>
      </c>
      <c r="F210" s="250" t="s">
        <v>529</v>
      </c>
      <c r="G210" s="492"/>
      <c r="H210" s="468">
        <v>45770</v>
      </c>
      <c r="I210" s="462" t="s">
        <v>510</v>
      </c>
      <c r="J210" s="469" t="str">
        <f>IFERROR(VLOOKUP(I210,'Base de Monedas'!A:B,2,0),"")</f>
        <v>Dólar estadounidense</v>
      </c>
      <c r="K210" s="266">
        <v>7295558.5999999996</v>
      </c>
      <c r="L210" s="250" t="s">
        <v>529</v>
      </c>
    </row>
    <row r="211" spans="1:12" ht="15" customHeight="1">
      <c r="A211" s="491" t="s">
        <v>547</v>
      </c>
      <c r="B211" s="468">
        <v>45902</v>
      </c>
      <c r="C211" s="250" t="s">
        <v>510</v>
      </c>
      <c r="D211" s="469" t="str">
        <f>IFERROR(VLOOKUP(C211,'Base de Monedas'!A:B,2,0),"")</f>
        <v>Dólar estadounidense</v>
      </c>
      <c r="E211" s="266">
        <v>6165564.1600000001</v>
      </c>
      <c r="F211" s="250" t="s">
        <v>529</v>
      </c>
      <c r="G211" s="492"/>
      <c r="H211" s="468">
        <v>45902</v>
      </c>
      <c r="I211" s="462" t="s">
        <v>510</v>
      </c>
      <c r="J211" s="469" t="str">
        <f>IFERROR(VLOOKUP(I211,'Base de Monedas'!A:B,2,0),"")</f>
        <v>Dólar estadounidense</v>
      </c>
      <c r="K211" s="266">
        <v>6056678.3200000003</v>
      </c>
      <c r="L211" s="250" t="s">
        <v>529</v>
      </c>
    </row>
    <row r="212" spans="1:12" ht="15" customHeight="1">
      <c r="A212" s="491" t="s">
        <v>547</v>
      </c>
      <c r="B212" s="468">
        <v>45902</v>
      </c>
      <c r="C212" s="250" t="s">
        <v>510</v>
      </c>
      <c r="D212" s="469" t="str">
        <f>IFERROR(VLOOKUP(C212,'Base de Monedas'!A:B,2,0),"")</f>
        <v>Dólar estadounidense</v>
      </c>
      <c r="E212" s="266">
        <v>14036750.24</v>
      </c>
      <c r="F212" s="250" t="s">
        <v>529</v>
      </c>
      <c r="G212" s="492"/>
      <c r="H212" s="468">
        <v>45902</v>
      </c>
      <c r="I212" s="462" t="s">
        <v>510</v>
      </c>
      <c r="J212" s="469" t="str">
        <f>IFERROR(VLOOKUP(I212,'Base de Monedas'!A:B,2,0),"")</f>
        <v>Dólar estadounidense</v>
      </c>
      <c r="K212" s="266">
        <v>13788856.73</v>
      </c>
      <c r="L212" s="250" t="s">
        <v>529</v>
      </c>
    </row>
    <row r="213" spans="1:12" ht="15" customHeight="1">
      <c r="A213" s="491" t="s">
        <v>547</v>
      </c>
      <c r="B213" s="468">
        <v>45903</v>
      </c>
      <c r="C213" s="250" t="s">
        <v>510</v>
      </c>
      <c r="D213" s="469" t="str">
        <f>IFERROR(VLOOKUP(C213,'Base de Monedas'!A:B,2,0),"")</f>
        <v>Dólar estadounidense</v>
      </c>
      <c r="E213" s="266">
        <v>19141081.120000001</v>
      </c>
      <c r="F213" s="250" t="s">
        <v>529</v>
      </c>
      <c r="G213" s="492"/>
      <c r="H213" s="468">
        <v>45903</v>
      </c>
      <c r="I213" s="462" t="s">
        <v>510</v>
      </c>
      <c r="J213" s="469" t="str">
        <f>IFERROR(VLOOKUP(I213,'Base de Monedas'!A:B,2,0),"")</f>
        <v>Dólar estadounidense</v>
      </c>
      <c r="K213" s="266">
        <v>18803043.489999998</v>
      </c>
      <c r="L213" s="250" t="s">
        <v>529</v>
      </c>
    </row>
    <row r="214" spans="1:12" ht="15" customHeight="1">
      <c r="A214" s="491" t="s">
        <v>547</v>
      </c>
      <c r="B214" s="468">
        <v>45903</v>
      </c>
      <c r="C214" s="250" t="s">
        <v>510</v>
      </c>
      <c r="D214" s="461" t="str">
        <f>IFERROR(VLOOKUP(C214,'Base de Monedas'!A:B,2,0),"")</f>
        <v>Dólar estadounidense</v>
      </c>
      <c r="E214" s="266">
        <v>43814116.159999996</v>
      </c>
      <c r="F214" s="30" t="s">
        <v>529</v>
      </c>
      <c r="G214" s="150"/>
      <c r="H214" s="468">
        <v>45903</v>
      </c>
      <c r="I214" s="462" t="s">
        <v>510</v>
      </c>
      <c r="J214" s="461" t="str">
        <f>IFERROR(VLOOKUP(I214,'Base de Monedas'!A:B,2,0),"")</f>
        <v>Dólar estadounidense</v>
      </c>
      <c r="K214" s="266">
        <v>43040344.82</v>
      </c>
      <c r="L214" s="250" t="s">
        <v>529</v>
      </c>
    </row>
    <row r="215" spans="1:12" ht="15" customHeight="1">
      <c r="A215" s="491" t="s">
        <v>547</v>
      </c>
      <c r="B215" s="468">
        <v>45914</v>
      </c>
      <c r="C215" s="250" t="s">
        <v>510</v>
      </c>
      <c r="D215" s="461" t="str">
        <f>IFERROR(VLOOKUP(C215,'Base de Monedas'!A:B,2,0),"")</f>
        <v>Dólar estadounidense</v>
      </c>
      <c r="E215" s="266">
        <v>2433363.52</v>
      </c>
      <c r="F215" s="30" t="s">
        <v>529</v>
      </c>
      <c r="G215" s="150"/>
      <c r="H215" s="468">
        <v>45914</v>
      </c>
      <c r="I215" s="462" t="s">
        <v>510</v>
      </c>
      <c r="J215" s="461" t="str">
        <f>IFERROR(VLOOKUP(I215,'Base de Monedas'!A:B,2,0),"")</f>
        <v>Dólar estadounidense</v>
      </c>
      <c r="K215" s="266">
        <v>2390389.54</v>
      </c>
      <c r="L215" s="250" t="s">
        <v>529</v>
      </c>
    </row>
    <row r="216" spans="1:12" ht="15" customHeight="1">
      <c r="A216" s="491" t="s">
        <v>547</v>
      </c>
      <c r="B216" s="468">
        <v>45914</v>
      </c>
      <c r="C216" s="250" t="s">
        <v>510</v>
      </c>
      <c r="D216" s="461" t="str">
        <f>IFERROR(VLOOKUP(C216,'Base de Monedas'!A:B,2,0),"")</f>
        <v>Dólar estadounidense</v>
      </c>
      <c r="E216" s="266">
        <v>5570037.5999999996</v>
      </c>
      <c r="F216" s="30" t="s">
        <v>529</v>
      </c>
      <c r="G216" s="150"/>
      <c r="H216" s="468">
        <v>45914</v>
      </c>
      <c r="I216" s="462" t="s">
        <v>510</v>
      </c>
      <c r="J216" s="461" t="str">
        <f>IFERROR(VLOOKUP(I216,'Base de Monedas'!A:B,2,0),"")</f>
        <v>Dólar estadounidense</v>
      </c>
      <c r="K216" s="266">
        <v>5471668.9500000002</v>
      </c>
      <c r="L216" s="250" t="s">
        <v>529</v>
      </c>
    </row>
    <row r="217" spans="1:12" ht="15" customHeight="1">
      <c r="A217" s="491" t="s">
        <v>547</v>
      </c>
      <c r="B217" s="468">
        <v>45926</v>
      </c>
      <c r="C217" s="250" t="s">
        <v>510</v>
      </c>
      <c r="D217" s="461" t="str">
        <f>IFERROR(VLOOKUP(C217,'Base de Monedas'!A:B,2,0),"")</f>
        <v>Dólar estadounidense</v>
      </c>
      <c r="E217" s="266">
        <v>2401746.88</v>
      </c>
      <c r="F217" s="30" t="s">
        <v>529</v>
      </c>
      <c r="G217" s="150"/>
      <c r="H217" s="468">
        <v>45926</v>
      </c>
      <c r="I217" s="462" t="s">
        <v>510</v>
      </c>
      <c r="J217" s="461" t="str">
        <f>IFERROR(VLOOKUP(I217,'Base de Monedas'!A:B,2,0),"")</f>
        <v>Dólar estadounidense</v>
      </c>
      <c r="K217" s="266">
        <v>2359331.2599999998</v>
      </c>
      <c r="L217" s="250" t="s">
        <v>529</v>
      </c>
    </row>
    <row r="218" spans="1:12" ht="15" customHeight="1">
      <c r="A218" s="491" t="s">
        <v>547</v>
      </c>
      <c r="B218" s="468">
        <v>45926</v>
      </c>
      <c r="C218" s="250" t="s">
        <v>510</v>
      </c>
      <c r="D218" s="461" t="str">
        <f>IFERROR(VLOOKUP(C218,'Base de Monedas'!A:B,2,0),"")</f>
        <v>Dólar estadounidense</v>
      </c>
      <c r="E218" s="266">
        <v>8764436</v>
      </c>
      <c r="F218" s="30" t="s">
        <v>529</v>
      </c>
      <c r="G218" s="150"/>
      <c r="H218" s="468">
        <v>45926</v>
      </c>
      <c r="I218" s="462" t="s">
        <v>510</v>
      </c>
      <c r="J218" s="461" t="str">
        <f>IFERROR(VLOOKUP(I218,'Base de Monedas'!A:B,2,0),"")</f>
        <v>Dólar estadounidense</v>
      </c>
      <c r="K218" s="266">
        <v>8609653.25</v>
      </c>
      <c r="L218" s="250" t="s">
        <v>529</v>
      </c>
    </row>
    <row r="219" spans="1:12" ht="15" customHeight="1">
      <c r="A219" s="491" t="s">
        <v>547</v>
      </c>
      <c r="B219" s="468">
        <v>45945</v>
      </c>
      <c r="C219" s="250" t="s">
        <v>510</v>
      </c>
      <c r="D219" s="461" t="str">
        <f>IFERROR(VLOOKUP(C219,'Base de Monedas'!A:B,2,0),"")</f>
        <v>Dólar estadounidense</v>
      </c>
      <c r="E219" s="266">
        <v>3077432.8</v>
      </c>
      <c r="F219" s="30" t="s">
        <v>529</v>
      </c>
      <c r="G219" s="150"/>
      <c r="H219" s="468">
        <v>45945</v>
      </c>
      <c r="I219" s="462" t="s">
        <v>510</v>
      </c>
      <c r="J219" s="461" t="str">
        <f>IFERROR(VLOOKUP(I219,'Base de Monedas'!A:B,2,0),"")</f>
        <v>Dólar estadounidense</v>
      </c>
      <c r="K219" s="266">
        <v>3023084.35</v>
      </c>
      <c r="L219" s="250" t="s">
        <v>529</v>
      </c>
    </row>
    <row r="220" spans="1:12" ht="15" customHeight="1">
      <c r="A220" s="491" t="s">
        <v>547</v>
      </c>
      <c r="B220" s="468">
        <v>45945</v>
      </c>
      <c r="C220" s="250" t="s">
        <v>510</v>
      </c>
      <c r="D220" s="461" t="str">
        <f>IFERROR(VLOOKUP(C220,'Base de Monedas'!A:B,2,0),"")</f>
        <v>Dólar estadounidense</v>
      </c>
      <c r="E220" s="266">
        <v>7006119.6799999997</v>
      </c>
      <c r="F220" s="30" t="s">
        <v>529</v>
      </c>
      <c r="G220" s="150"/>
      <c r="H220" s="468">
        <v>45945</v>
      </c>
      <c r="I220" s="462" t="s">
        <v>510</v>
      </c>
      <c r="J220" s="461" t="str">
        <f>IFERROR(VLOOKUP(I220,'Base de Monedas'!A:B,2,0),"")</f>
        <v>Dólar estadounidense</v>
      </c>
      <c r="K220" s="266">
        <v>6882389.3600000003</v>
      </c>
      <c r="L220" s="250" t="s">
        <v>529</v>
      </c>
    </row>
    <row r="221" spans="1:12" ht="15" customHeight="1">
      <c r="A221" s="491" t="s">
        <v>547</v>
      </c>
      <c r="B221" s="468">
        <v>45950</v>
      </c>
      <c r="C221" s="250" t="s">
        <v>510</v>
      </c>
      <c r="D221" s="461" t="str">
        <f>IFERROR(VLOOKUP(C221,'Base de Monedas'!A:B,2,0),"")</f>
        <v>Dólar estadounidense</v>
      </c>
      <c r="E221" s="266">
        <v>2433363.52</v>
      </c>
      <c r="F221" s="30" t="s">
        <v>529</v>
      </c>
      <c r="G221" s="150"/>
      <c r="H221" s="468">
        <v>45950</v>
      </c>
      <c r="I221" s="462" t="s">
        <v>510</v>
      </c>
      <c r="J221" s="461" t="str">
        <f>IFERROR(VLOOKUP(I221,'Base de Monedas'!A:B,2,0),"")</f>
        <v>Dólar estadounidense</v>
      </c>
      <c r="K221" s="266">
        <v>2390389.54</v>
      </c>
      <c r="L221" s="250" t="s">
        <v>529</v>
      </c>
    </row>
    <row r="222" spans="1:12" ht="15" customHeight="1">
      <c r="A222" s="491" t="s">
        <v>547</v>
      </c>
      <c r="B222" s="468">
        <v>45950</v>
      </c>
      <c r="C222" s="250" t="s">
        <v>510</v>
      </c>
      <c r="D222" s="461" t="str">
        <f>IFERROR(VLOOKUP(C222,'Base de Monedas'!A:B,2,0),"")</f>
        <v>Dólar estadounidense</v>
      </c>
      <c r="E222" s="266">
        <v>5570037.5999999996</v>
      </c>
      <c r="F222" s="30" t="s">
        <v>529</v>
      </c>
      <c r="G222" s="150"/>
      <c r="H222" s="468">
        <v>45950</v>
      </c>
      <c r="I222" s="462" t="s">
        <v>510</v>
      </c>
      <c r="J222" s="461" t="str">
        <f>IFERROR(VLOOKUP(I222,'Base de Monedas'!A:B,2,0),"")</f>
        <v>Dólar estadounidense</v>
      </c>
      <c r="K222" s="266">
        <v>5471668.9500000002</v>
      </c>
      <c r="L222" s="250" t="s">
        <v>529</v>
      </c>
    </row>
    <row r="223" spans="1:12" ht="15" customHeight="1">
      <c r="A223" s="491" t="s">
        <v>547</v>
      </c>
      <c r="B223" s="468">
        <v>46082</v>
      </c>
      <c r="C223" s="250" t="s">
        <v>510</v>
      </c>
      <c r="D223" s="461" t="str">
        <f>IFERROR(VLOOKUP(C223,'Base de Monedas'!A:B,2,0),"")</f>
        <v>Dólar estadounidense</v>
      </c>
      <c r="E223" s="266">
        <v>4110402.72</v>
      </c>
      <c r="F223" s="30" t="s">
        <v>529</v>
      </c>
      <c r="G223" s="150"/>
      <c r="H223" s="496" t="s">
        <v>535</v>
      </c>
      <c r="I223" s="462" t="s">
        <v>535</v>
      </c>
      <c r="J223" s="461" t="str">
        <f>IFERROR(VLOOKUP(I223,'Base de Monedas'!A:B,2,0),"")</f>
        <v/>
      </c>
      <c r="K223" s="266" t="s">
        <v>535</v>
      </c>
      <c r="L223" s="250" t="s">
        <v>535</v>
      </c>
    </row>
    <row r="224" spans="1:12" ht="15" customHeight="1">
      <c r="A224" s="491" t="s">
        <v>547</v>
      </c>
      <c r="B224" s="468">
        <v>46082</v>
      </c>
      <c r="C224" s="250" t="s">
        <v>510</v>
      </c>
      <c r="D224" s="461" t="str">
        <f>IFERROR(VLOOKUP(C224,'Base de Monedas'!A:B,2,0),"")</f>
        <v>Dólar estadounidense</v>
      </c>
      <c r="E224" s="266">
        <v>9357806.8800000008</v>
      </c>
      <c r="F224" s="30" t="s">
        <v>529</v>
      </c>
      <c r="G224" s="150"/>
      <c r="H224" s="496" t="s">
        <v>535</v>
      </c>
      <c r="I224" s="462" t="s">
        <v>535</v>
      </c>
      <c r="J224" s="461" t="str">
        <f>IFERROR(VLOOKUP(I224,'Base de Monedas'!A:B,2,0),"")</f>
        <v/>
      </c>
      <c r="K224" s="266" t="s">
        <v>535</v>
      </c>
      <c r="L224" s="250" t="s">
        <v>535</v>
      </c>
    </row>
    <row r="225" spans="1:12" ht="15" customHeight="1">
      <c r="A225" s="491" t="s">
        <v>547</v>
      </c>
      <c r="B225" s="468">
        <v>46083</v>
      </c>
      <c r="C225" s="250" t="s">
        <v>510</v>
      </c>
      <c r="D225" s="461" t="str">
        <f>IFERROR(VLOOKUP(C225,'Base de Monedas'!A:B,2,0),"")</f>
        <v>Dólar estadounidense</v>
      </c>
      <c r="E225" s="266">
        <v>12760747.359999999</v>
      </c>
      <c r="F225" s="30" t="s">
        <v>529</v>
      </c>
      <c r="G225" s="150"/>
      <c r="H225" s="496" t="s">
        <v>535</v>
      </c>
      <c r="I225" s="462" t="s">
        <v>535</v>
      </c>
      <c r="J225" s="461" t="str">
        <f>IFERROR(VLOOKUP(I225,'Base de Monedas'!A:B,2,0),"")</f>
        <v/>
      </c>
      <c r="K225" s="266" t="s">
        <v>535</v>
      </c>
      <c r="L225" s="250" t="s">
        <v>535</v>
      </c>
    </row>
    <row r="226" spans="1:12" ht="15" customHeight="1">
      <c r="A226" s="491" t="s">
        <v>547</v>
      </c>
      <c r="B226" s="468">
        <v>46083</v>
      </c>
      <c r="C226" s="250" t="s">
        <v>510</v>
      </c>
      <c r="D226" s="461" t="str">
        <f>IFERROR(VLOOKUP(C226,'Base de Monedas'!A:B,2,0),"")</f>
        <v>Dólar estadounidense</v>
      </c>
      <c r="E226" s="266">
        <v>29209384.16</v>
      </c>
      <c r="F226" s="30" t="s">
        <v>529</v>
      </c>
      <c r="G226" s="150"/>
      <c r="H226" s="496" t="s">
        <v>535</v>
      </c>
      <c r="I226" s="462" t="s">
        <v>535</v>
      </c>
      <c r="J226" s="461" t="str">
        <f>IFERROR(VLOOKUP(I226,'Base de Monedas'!A:B,2,0),"")</f>
        <v/>
      </c>
      <c r="K226" s="266" t="s">
        <v>535</v>
      </c>
      <c r="L226" s="250" t="s">
        <v>535</v>
      </c>
    </row>
    <row r="227" spans="1:12" ht="15" customHeight="1">
      <c r="A227" s="491" t="s">
        <v>547</v>
      </c>
      <c r="B227" s="468">
        <v>46094</v>
      </c>
      <c r="C227" s="250" t="s">
        <v>510</v>
      </c>
      <c r="D227" s="461" t="str">
        <f>IFERROR(VLOOKUP(C227,'Base de Monedas'!A:B,2,0),"")</f>
        <v>Dólar estadounidense</v>
      </c>
      <c r="E227" s="266">
        <v>1622268.96</v>
      </c>
      <c r="F227" s="30" t="s">
        <v>529</v>
      </c>
      <c r="G227" s="150"/>
      <c r="H227" s="496" t="s">
        <v>535</v>
      </c>
      <c r="I227" s="462" t="s">
        <v>535</v>
      </c>
      <c r="J227" s="461" t="str">
        <f>IFERROR(VLOOKUP(I227,'Base de Monedas'!A:B,2,0),"")</f>
        <v/>
      </c>
      <c r="K227" s="266" t="s">
        <v>535</v>
      </c>
      <c r="L227" s="250" t="s">
        <v>535</v>
      </c>
    </row>
    <row r="228" spans="1:12" ht="15" customHeight="1">
      <c r="A228" s="491" t="s">
        <v>547</v>
      </c>
      <c r="B228" s="468">
        <v>46094</v>
      </c>
      <c r="C228" s="250" t="s">
        <v>510</v>
      </c>
      <c r="D228" s="461" t="str">
        <f>IFERROR(VLOOKUP(C228,'Base de Monedas'!A:B,2,0),"")</f>
        <v>Dólar estadounidense</v>
      </c>
      <c r="E228" s="266">
        <v>3713358.4</v>
      </c>
      <c r="F228" s="30" t="s">
        <v>529</v>
      </c>
      <c r="G228" s="150"/>
      <c r="H228" s="496" t="s">
        <v>535</v>
      </c>
      <c r="I228" s="462" t="s">
        <v>535</v>
      </c>
      <c r="J228" s="461" t="str">
        <f>IFERROR(VLOOKUP(I228,'Base de Monedas'!A:B,2,0),"")</f>
        <v/>
      </c>
      <c r="K228" s="266" t="s">
        <v>535</v>
      </c>
      <c r="L228" s="250" t="s">
        <v>535</v>
      </c>
    </row>
    <row r="229" spans="1:12" ht="15" customHeight="1">
      <c r="A229" s="491" t="s">
        <v>547</v>
      </c>
      <c r="B229" s="468"/>
      <c r="C229" s="250"/>
      <c r="D229" s="461" t="str">
        <f>IFERROR(VLOOKUP(C229,'Base de Monedas'!A:B,2,0),"")</f>
        <v/>
      </c>
      <c r="E229" s="266"/>
      <c r="F229" s="30"/>
      <c r="G229" s="150"/>
      <c r="H229" s="468">
        <v>45684</v>
      </c>
      <c r="I229" s="462" t="s">
        <v>510</v>
      </c>
      <c r="J229" s="461" t="str">
        <f>IFERROR(VLOOKUP(I229,'Base de Monedas'!A:B,2,0),"")</f>
        <v>Dólar estadounidense</v>
      </c>
      <c r="K229" s="266">
        <v>12592484.51</v>
      </c>
      <c r="L229" s="250" t="s">
        <v>529</v>
      </c>
    </row>
    <row r="230" spans="1:12" ht="15" customHeight="1">
      <c r="A230" s="491" t="s">
        <v>547</v>
      </c>
      <c r="B230" s="468"/>
      <c r="C230" s="250"/>
      <c r="D230" s="461" t="str">
        <f>IFERROR(VLOOKUP(C230,'Base de Monedas'!A:B,2,0),"")</f>
        <v/>
      </c>
      <c r="E230" s="266"/>
      <c r="F230" s="30"/>
      <c r="G230" s="150"/>
      <c r="H230" s="468">
        <v>45690</v>
      </c>
      <c r="I230" s="462" t="s">
        <v>510</v>
      </c>
      <c r="J230" s="461" t="str">
        <f>IFERROR(VLOOKUP(I230,'Base de Monedas'!A:B,2,0),"")</f>
        <v>Dólar estadounidense</v>
      </c>
      <c r="K230" s="266">
        <v>20473445.629999999</v>
      </c>
      <c r="L230" s="250" t="s">
        <v>529</v>
      </c>
    </row>
    <row r="231" spans="1:12" ht="15" customHeight="1">
      <c r="A231" s="491" t="s">
        <v>547</v>
      </c>
      <c r="B231" s="468"/>
      <c r="C231" s="250"/>
      <c r="D231" s="461" t="str">
        <f>IFERROR(VLOOKUP(C231,'Base de Monedas'!A:B,2,0),"")</f>
        <v/>
      </c>
      <c r="E231" s="266"/>
      <c r="F231" s="30"/>
      <c r="G231" s="150"/>
      <c r="H231" s="468">
        <v>45699</v>
      </c>
      <c r="I231" s="462" t="s">
        <v>510</v>
      </c>
      <c r="J231" s="461" t="str">
        <f>IFERROR(VLOOKUP(I231,'Base de Monedas'!A:B,2,0),"")</f>
        <v>Dólar estadounidense</v>
      </c>
      <c r="K231" s="266">
        <v>27397324.460000001</v>
      </c>
      <c r="L231" s="250" t="s">
        <v>529</v>
      </c>
    </row>
    <row r="232" spans="1:12" ht="15" customHeight="1">
      <c r="A232" s="491" t="s">
        <v>547</v>
      </c>
      <c r="B232" s="468"/>
      <c r="C232" s="250"/>
      <c r="D232" s="461" t="str">
        <f>IFERROR(VLOOKUP(C232,'Base de Monedas'!A:B,2,0),"")</f>
        <v/>
      </c>
      <c r="E232" s="266"/>
      <c r="F232" s="30"/>
      <c r="G232" s="150"/>
      <c r="H232" s="468">
        <v>45724</v>
      </c>
      <c r="I232" s="462" t="s">
        <v>510</v>
      </c>
      <c r="J232" s="461" t="str">
        <f>IFERROR(VLOOKUP(I232,'Base de Monedas'!A:B,2,0),"")</f>
        <v>Dólar estadounidense</v>
      </c>
      <c r="K232" s="266">
        <v>8598986.7699999996</v>
      </c>
      <c r="L232" s="250" t="s">
        <v>529</v>
      </c>
    </row>
    <row r="233" spans="1:12" ht="15" customHeight="1">
      <c r="A233" s="491" t="s">
        <v>547</v>
      </c>
      <c r="B233" s="468"/>
      <c r="C233" s="250"/>
      <c r="D233" s="461" t="str">
        <f>IFERROR(VLOOKUP(C233,'Base de Monedas'!A:B,2,0),"")</f>
        <v/>
      </c>
      <c r="E233" s="266"/>
      <c r="F233" s="30"/>
      <c r="G233" s="150"/>
      <c r="H233" s="468">
        <v>45740</v>
      </c>
      <c r="I233" s="462" t="s">
        <v>510</v>
      </c>
      <c r="J233" s="461" t="str">
        <f>IFERROR(VLOOKUP(I233,'Base de Monedas'!A:B,2,0),"")</f>
        <v>Dólar estadounidense</v>
      </c>
      <c r="K233" s="266">
        <v>17735375.899999999</v>
      </c>
      <c r="L233" s="250" t="s">
        <v>529</v>
      </c>
    </row>
    <row r="234" spans="1:12" ht="15" customHeight="1">
      <c r="A234" s="491" t="s">
        <v>547</v>
      </c>
      <c r="B234" s="468"/>
      <c r="C234" s="250"/>
      <c r="D234" s="461" t="str">
        <f>IFERROR(VLOOKUP(C234,'Base de Monedas'!A:B,2,0),"")</f>
        <v/>
      </c>
      <c r="E234" s="266"/>
      <c r="F234" s="30"/>
      <c r="G234" s="150"/>
      <c r="H234" s="468">
        <v>45745</v>
      </c>
      <c r="I234" s="462" t="s">
        <v>510</v>
      </c>
      <c r="J234" s="461" t="str">
        <f>IFERROR(VLOOKUP(I234,'Base de Monedas'!A:B,2,0),"")</f>
        <v>Dólar estadounidense</v>
      </c>
      <c r="K234" s="266">
        <v>10061315.119999999</v>
      </c>
      <c r="L234" s="250" t="s">
        <v>529</v>
      </c>
    </row>
    <row r="235" spans="1:12" ht="15" customHeight="1">
      <c r="A235" s="491" t="s">
        <v>547</v>
      </c>
      <c r="B235" s="468">
        <v>45755</v>
      </c>
      <c r="C235" s="250" t="s">
        <v>510</v>
      </c>
      <c r="D235" s="461" t="str">
        <f>IFERROR(VLOOKUP(C235,'Base de Monedas'!A:B,2,0),"")</f>
        <v>Dólar estadounidense</v>
      </c>
      <c r="E235" s="266">
        <v>13205216.640000001</v>
      </c>
      <c r="F235" s="30" t="s">
        <v>529</v>
      </c>
      <c r="G235" s="150"/>
      <c r="H235" s="468">
        <v>45755</v>
      </c>
      <c r="I235" s="462" t="s">
        <v>510</v>
      </c>
      <c r="J235" s="461" t="str">
        <f>IFERROR(VLOOKUP(I235,'Base de Monedas'!A:B,2,0),"")</f>
        <v>Dólar estadounidense</v>
      </c>
      <c r="K235" s="266">
        <v>12972008.279999999</v>
      </c>
      <c r="L235" s="250" t="s">
        <v>529</v>
      </c>
    </row>
    <row r="236" spans="1:12" ht="15" customHeight="1">
      <c r="A236" s="491" t="s">
        <v>547</v>
      </c>
      <c r="B236" s="468">
        <v>45775</v>
      </c>
      <c r="C236" s="250" t="s">
        <v>510</v>
      </c>
      <c r="D236" s="461" t="str">
        <f>IFERROR(VLOOKUP(C236,'Base de Monedas'!A:B,2,0),"")</f>
        <v>Dólar estadounidense</v>
      </c>
      <c r="E236" s="266">
        <v>10848739.039999999</v>
      </c>
      <c r="F236" s="30" t="s">
        <v>529</v>
      </c>
      <c r="G236" s="150"/>
      <c r="H236" s="468">
        <v>45775</v>
      </c>
      <c r="I236" s="462" t="s">
        <v>510</v>
      </c>
      <c r="J236" s="461" t="str">
        <f>IFERROR(VLOOKUP(I236,'Base de Monedas'!A:B,2,0),"")</f>
        <v>Dólar estadounidense</v>
      </c>
      <c r="K236" s="266">
        <v>10657146.83</v>
      </c>
      <c r="L236" s="250" t="s">
        <v>529</v>
      </c>
    </row>
    <row r="237" spans="1:12" ht="15" customHeight="1">
      <c r="A237" s="491" t="s">
        <v>547</v>
      </c>
      <c r="B237" s="468">
        <v>45864</v>
      </c>
      <c r="C237" s="250" t="s">
        <v>510</v>
      </c>
      <c r="D237" s="461" t="str">
        <f>IFERROR(VLOOKUP(C237,'Base de Monedas'!A:B,2,0),"")</f>
        <v>Dólar estadounidense</v>
      </c>
      <c r="E237" s="266">
        <v>6409395.5199999996</v>
      </c>
      <c r="F237" s="30" t="s">
        <v>529</v>
      </c>
      <c r="G237" s="150"/>
      <c r="H237" s="468">
        <v>45864</v>
      </c>
      <c r="I237" s="462" t="s">
        <v>510</v>
      </c>
      <c r="J237" s="461" t="str">
        <f>IFERROR(VLOOKUP(I237,'Base de Monedas'!A:B,2,0),"")</f>
        <v>Dólar estadounidense</v>
      </c>
      <c r="K237" s="266">
        <v>6296203.54</v>
      </c>
      <c r="L237" s="250" t="s">
        <v>529</v>
      </c>
    </row>
    <row r="238" spans="1:12" ht="15" customHeight="1">
      <c r="A238" s="491" t="s">
        <v>547</v>
      </c>
      <c r="B238" s="468">
        <v>45870</v>
      </c>
      <c r="C238" s="250" t="s">
        <v>510</v>
      </c>
      <c r="D238" s="461" t="str">
        <f>IFERROR(VLOOKUP(C238,'Base de Monedas'!A:B,2,0),"")</f>
        <v>Dólar estadounidense</v>
      </c>
      <c r="E238" s="266">
        <v>10420716.800000001</v>
      </c>
      <c r="F238" s="30" t="s">
        <v>529</v>
      </c>
      <c r="G238" s="150"/>
      <c r="H238" s="468">
        <v>45870</v>
      </c>
      <c r="I238" s="462" t="s">
        <v>510</v>
      </c>
      <c r="J238" s="461" t="str">
        <f>IFERROR(VLOOKUP(I238,'Base de Monedas'!A:B,2,0),"")</f>
        <v>Dólar estadounidense</v>
      </c>
      <c r="K238" s="266">
        <v>10236683.6</v>
      </c>
      <c r="L238" s="250" t="s">
        <v>529</v>
      </c>
    </row>
    <row r="239" spans="1:12" ht="15" customHeight="1">
      <c r="A239" s="491" t="s">
        <v>547</v>
      </c>
      <c r="B239" s="468">
        <v>45879</v>
      </c>
      <c r="C239" s="250" t="s">
        <v>510</v>
      </c>
      <c r="D239" s="461" t="str">
        <f>IFERROR(VLOOKUP(C239,'Base de Monedas'!A:B,2,0),"")</f>
        <v>Dólar estadounidense</v>
      </c>
      <c r="E239" s="266">
        <v>13944934.24</v>
      </c>
      <c r="F239" s="30" t="s">
        <v>529</v>
      </c>
      <c r="G239" s="150"/>
      <c r="H239" s="468">
        <v>45879</v>
      </c>
      <c r="I239" s="462" t="s">
        <v>510</v>
      </c>
      <c r="J239" s="461" t="str">
        <f>IFERROR(VLOOKUP(I239,'Base de Monedas'!A:B,2,0),"")</f>
        <v>Dólar estadounidense</v>
      </c>
      <c r="K239" s="266">
        <v>13698662.23</v>
      </c>
      <c r="L239" s="250" t="s">
        <v>529</v>
      </c>
    </row>
    <row r="240" spans="1:12" ht="15" customHeight="1">
      <c r="A240" s="491" t="s">
        <v>547</v>
      </c>
      <c r="B240" s="468">
        <v>45904</v>
      </c>
      <c r="C240" s="250" t="s">
        <v>510</v>
      </c>
      <c r="D240" s="461" t="str">
        <f>IFERROR(VLOOKUP(C240,'Base de Monedas'!A:B,2,0),"")</f>
        <v>Dólar estadounidense</v>
      </c>
      <c r="E240" s="266">
        <v>4376828.8</v>
      </c>
      <c r="F240" s="30" t="s">
        <v>529</v>
      </c>
      <c r="G240" s="150"/>
      <c r="H240" s="468">
        <v>45904</v>
      </c>
      <c r="I240" s="462" t="s">
        <v>510</v>
      </c>
      <c r="J240" s="461" t="str">
        <f>IFERROR(VLOOKUP(I240,'Base de Monedas'!A:B,2,0),"")</f>
        <v>Dólar estadounidense</v>
      </c>
      <c r="K240" s="266">
        <v>4299532.5999999996</v>
      </c>
      <c r="L240" s="250" t="s">
        <v>529</v>
      </c>
    </row>
    <row r="241" spans="1:12" ht="15" customHeight="1">
      <c r="A241" s="491" t="s">
        <v>547</v>
      </c>
      <c r="B241" s="468">
        <v>45920</v>
      </c>
      <c r="C241" s="250" t="s">
        <v>510</v>
      </c>
      <c r="D241" s="461" t="str">
        <f>IFERROR(VLOOKUP(C241,'Base de Monedas'!A:B,2,0),"")</f>
        <v>Dólar estadounidense</v>
      </c>
      <c r="E241" s="266">
        <v>9027109.5999999996</v>
      </c>
      <c r="F241" s="30" t="s">
        <v>529</v>
      </c>
      <c r="G241" s="150"/>
      <c r="H241" s="468">
        <v>45920</v>
      </c>
      <c r="I241" s="462" t="s">
        <v>510</v>
      </c>
      <c r="J241" s="461" t="str">
        <f>IFERROR(VLOOKUP(I241,'Base de Monedas'!A:B,2,0),"")</f>
        <v>Dólar estadounidense</v>
      </c>
      <c r="K241" s="266">
        <v>8867687.9499999993</v>
      </c>
      <c r="L241" s="250" t="s">
        <v>529</v>
      </c>
    </row>
    <row r="242" spans="1:12" ht="15" customHeight="1">
      <c r="A242" s="491" t="s">
        <v>547</v>
      </c>
      <c r="B242" s="468">
        <v>45925</v>
      </c>
      <c r="C242" s="250" t="s">
        <v>510</v>
      </c>
      <c r="D242" s="461" t="str">
        <f>IFERROR(VLOOKUP(C242,'Base de Monedas'!A:B,2,0),"")</f>
        <v>Dólar estadounidense</v>
      </c>
      <c r="E242" s="266">
        <v>5121097.28</v>
      </c>
      <c r="F242" s="30" t="s">
        <v>529</v>
      </c>
      <c r="G242" s="150"/>
      <c r="H242" s="468">
        <v>45925</v>
      </c>
      <c r="I242" s="462" t="s">
        <v>510</v>
      </c>
      <c r="J242" s="461" t="str">
        <f>IFERROR(VLOOKUP(I242,'Base de Monedas'!A:B,2,0),"")</f>
        <v>Dólar estadounidense</v>
      </c>
      <c r="K242" s="266">
        <v>5030657.0599999996</v>
      </c>
      <c r="L242" s="250" t="s">
        <v>529</v>
      </c>
    </row>
    <row r="243" spans="1:12" ht="15" customHeight="1">
      <c r="A243" s="491" t="s">
        <v>547</v>
      </c>
      <c r="B243" s="468">
        <v>45935</v>
      </c>
      <c r="C243" s="250" t="s">
        <v>510</v>
      </c>
      <c r="D243" s="461" t="str">
        <f>IFERROR(VLOOKUP(C243,'Base de Monedas'!A:B,2,0),"")</f>
        <v>Dólar estadounidense</v>
      </c>
      <c r="E243" s="266">
        <v>6602608.3200000003</v>
      </c>
      <c r="F243" s="30" t="s">
        <v>529</v>
      </c>
      <c r="G243" s="150"/>
      <c r="H243" s="468">
        <v>45935</v>
      </c>
      <c r="I243" s="462" t="s">
        <v>510</v>
      </c>
      <c r="J243" s="461" t="str">
        <f>IFERROR(VLOOKUP(I243,'Base de Monedas'!A:B,2,0),"")</f>
        <v>Dólar estadounidense</v>
      </c>
      <c r="K243" s="266">
        <v>6486004.1399999997</v>
      </c>
      <c r="L243" s="250" t="s">
        <v>529</v>
      </c>
    </row>
    <row r="244" spans="1:12" ht="15" customHeight="1">
      <c r="A244" s="491" t="s">
        <v>547</v>
      </c>
      <c r="B244" s="468">
        <v>45955</v>
      </c>
      <c r="C244" s="250" t="s">
        <v>510</v>
      </c>
      <c r="D244" s="461" t="str">
        <f>IFERROR(VLOOKUP(C244,'Base de Monedas'!A:B,2,0),"")</f>
        <v>Dólar estadounidense</v>
      </c>
      <c r="E244" s="266">
        <v>5424329.5999999996</v>
      </c>
      <c r="F244" s="30" t="s">
        <v>529</v>
      </c>
      <c r="G244" s="150"/>
      <c r="H244" s="468">
        <v>45955</v>
      </c>
      <c r="I244" s="462" t="s">
        <v>510</v>
      </c>
      <c r="J244" s="461" t="str">
        <f>IFERROR(VLOOKUP(I244,'Base de Monedas'!A:B,2,0),"")</f>
        <v>Dólar estadounidense</v>
      </c>
      <c r="K244" s="266">
        <v>5328534.2</v>
      </c>
      <c r="L244" s="250" t="s">
        <v>529</v>
      </c>
    </row>
    <row r="245" spans="1:12" ht="15" customHeight="1">
      <c r="A245" s="143" t="s">
        <v>545</v>
      </c>
      <c r="B245" s="468"/>
      <c r="C245" s="250"/>
      <c r="D245" s="461" t="str">
        <f>IFERROR(VLOOKUP(C245,'Base de Monedas'!A:B,2,0),"")</f>
        <v/>
      </c>
      <c r="E245" s="266"/>
      <c r="F245" s="30"/>
      <c r="G245" s="150"/>
      <c r="H245" s="468">
        <v>45662</v>
      </c>
      <c r="I245" s="462" t="s">
        <v>510</v>
      </c>
      <c r="J245" s="461" t="str">
        <f>IFERROR(VLOOKUP(I245,'Base de Monedas'!A:B,2,0),"")</f>
        <v>Dólar estadounidense</v>
      </c>
      <c r="K245" s="266">
        <v>73568830.170000002</v>
      </c>
      <c r="L245" s="250" t="s">
        <v>546</v>
      </c>
    </row>
    <row r="246" spans="1:12" ht="15" customHeight="1">
      <c r="A246" s="143" t="s">
        <v>545</v>
      </c>
      <c r="B246" s="468"/>
      <c r="C246" s="250"/>
      <c r="D246" s="461" t="str">
        <f>IFERROR(VLOOKUP(C246,'Base de Monedas'!A:B,2,0),"")</f>
        <v/>
      </c>
      <c r="E246" s="266"/>
      <c r="F246" s="30"/>
      <c r="G246" s="150"/>
      <c r="H246" s="468">
        <v>45693</v>
      </c>
      <c r="I246" s="462" t="s">
        <v>510</v>
      </c>
      <c r="J246" s="461" t="str">
        <f>IFERROR(VLOOKUP(I246,'Base de Monedas'!A:B,2,0),"")</f>
        <v>Dólar estadounidense</v>
      </c>
      <c r="K246" s="266">
        <v>71598354.849999994</v>
      </c>
      <c r="L246" s="250" t="s">
        <v>546</v>
      </c>
    </row>
    <row r="247" spans="1:12" ht="15" customHeight="1">
      <c r="A247" s="143" t="s">
        <v>545</v>
      </c>
      <c r="B247" s="468"/>
      <c r="C247" s="250"/>
      <c r="D247" s="461" t="str">
        <f>IFERROR(VLOOKUP(C247,'Base de Monedas'!A:B,2,0),"")</f>
        <v/>
      </c>
      <c r="E247" s="266"/>
      <c r="F247" s="30"/>
      <c r="G247" s="150"/>
      <c r="H247" s="468">
        <v>45721</v>
      </c>
      <c r="I247" s="462" t="s">
        <v>510</v>
      </c>
      <c r="J247" s="461" t="str">
        <f>IFERROR(VLOOKUP(I247,'Base de Monedas'!A:B,2,0),"")</f>
        <v>Dólar estadounidense</v>
      </c>
      <c r="K247" s="266">
        <v>69614546.430000007</v>
      </c>
      <c r="L247" s="250" t="s">
        <v>546</v>
      </c>
    </row>
    <row r="248" spans="1:12" ht="15" customHeight="1">
      <c r="A248" s="143" t="s">
        <v>545</v>
      </c>
      <c r="B248" s="468">
        <v>45752</v>
      </c>
      <c r="C248" s="250" t="s">
        <v>510</v>
      </c>
      <c r="D248" s="461" t="str">
        <f>IFERROR(VLOOKUP(C248,'Base de Monedas'!A:B,2,0),"")</f>
        <v>Dólar estadounidense</v>
      </c>
      <c r="E248" s="266">
        <v>68833417.280000001</v>
      </c>
      <c r="F248" s="30" t="s">
        <v>546</v>
      </c>
      <c r="G248" s="150"/>
      <c r="H248" s="468">
        <v>45752</v>
      </c>
      <c r="I248" s="462" t="s">
        <v>510</v>
      </c>
      <c r="J248" s="461" t="str">
        <f>IFERROR(VLOOKUP(I248,'Base de Monedas'!A:B,2,0),"")</f>
        <v>Dólar estadounidense</v>
      </c>
      <c r="K248" s="266">
        <v>67617797.060000002</v>
      </c>
      <c r="L248" s="250" t="s">
        <v>546</v>
      </c>
    </row>
    <row r="249" spans="1:12" ht="15" customHeight="1">
      <c r="A249" s="143" t="s">
        <v>545</v>
      </c>
      <c r="B249" s="468">
        <v>45782</v>
      </c>
      <c r="C249" s="250" t="s">
        <v>510</v>
      </c>
      <c r="D249" s="461" t="str">
        <f>IFERROR(VLOOKUP(C249,'Base de Monedas'!A:B,2,0),"")</f>
        <v>Dólar estadounidense</v>
      </c>
      <c r="E249" s="266">
        <v>66787277.759999998</v>
      </c>
      <c r="F249" s="30" t="s">
        <v>546</v>
      </c>
      <c r="G249" s="150"/>
      <c r="H249" s="468">
        <v>45782</v>
      </c>
      <c r="I249" s="462" t="s">
        <v>510</v>
      </c>
      <c r="J249" s="461" t="str">
        <f>IFERROR(VLOOKUP(I249,'Base de Monedas'!A:B,2,0),"")</f>
        <v>Dólar estadounidense</v>
      </c>
      <c r="K249" s="266">
        <v>65607793.020000003</v>
      </c>
      <c r="L249" s="250" t="s">
        <v>546</v>
      </c>
    </row>
    <row r="250" spans="1:12" ht="15" customHeight="1">
      <c r="A250" s="143" t="s">
        <v>545</v>
      </c>
      <c r="B250" s="468">
        <v>45813</v>
      </c>
      <c r="C250" s="250" t="s">
        <v>510</v>
      </c>
      <c r="D250" s="461" t="str">
        <f>IFERROR(VLOOKUP(C250,'Base de Monedas'!A:B,2,0),"")</f>
        <v>Dólar estadounidense</v>
      </c>
      <c r="E250" s="266">
        <v>64726926.719999999</v>
      </c>
      <c r="F250" s="30" t="s">
        <v>546</v>
      </c>
      <c r="G250" s="150"/>
      <c r="H250" s="468">
        <v>45813</v>
      </c>
      <c r="I250" s="462" t="s">
        <v>510</v>
      </c>
      <c r="J250" s="461" t="str">
        <f>IFERROR(VLOOKUP(I250,'Base de Monedas'!A:B,2,0),"")</f>
        <v>Dólar estadounidense</v>
      </c>
      <c r="K250" s="266">
        <v>63583828.439999998</v>
      </c>
      <c r="L250" s="250" t="s">
        <v>546</v>
      </c>
    </row>
    <row r="251" spans="1:12" ht="15" customHeight="1">
      <c r="A251" s="143" t="s">
        <v>545</v>
      </c>
      <c r="B251" s="468">
        <v>45843</v>
      </c>
      <c r="C251" s="250" t="s">
        <v>510</v>
      </c>
      <c r="D251" s="461" t="str">
        <f>IFERROR(VLOOKUP(C251,'Base de Monedas'!A:B,2,0),"")</f>
        <v>Dólar estadounidense</v>
      </c>
      <c r="E251" s="266">
        <v>62653162.560000002</v>
      </c>
      <c r="F251" s="30" t="s">
        <v>546</v>
      </c>
      <c r="G251" s="150"/>
      <c r="H251" s="468">
        <v>45843</v>
      </c>
      <c r="I251" s="462" t="s">
        <v>510</v>
      </c>
      <c r="J251" s="461" t="str">
        <f>IFERROR(VLOOKUP(I251,'Base de Monedas'!A:B,2,0),"")</f>
        <v>Dólar estadounidense</v>
      </c>
      <c r="K251" s="266">
        <v>61546687.619999997</v>
      </c>
      <c r="L251" s="250" t="s">
        <v>546</v>
      </c>
    </row>
    <row r="252" spans="1:12" ht="15" customHeight="1">
      <c r="A252" s="143" t="s">
        <v>545</v>
      </c>
      <c r="B252" s="468">
        <v>45874</v>
      </c>
      <c r="C252" s="250" t="s">
        <v>510</v>
      </c>
      <c r="D252" s="461" t="str">
        <f>IFERROR(VLOOKUP(C252,'Base de Monedas'!A:B,2,0),"")</f>
        <v>Dólar estadounidense</v>
      </c>
      <c r="E252" s="266">
        <v>60565506.240000002</v>
      </c>
      <c r="F252" s="30" t="s">
        <v>546</v>
      </c>
      <c r="G252" s="150"/>
      <c r="H252" s="468">
        <v>45874</v>
      </c>
      <c r="I252" s="462" t="s">
        <v>510</v>
      </c>
      <c r="J252" s="461" t="str">
        <f>IFERROR(VLOOKUP(I252,'Base de Monedas'!A:B,2,0),"")</f>
        <v>Dólar estadounidense</v>
      </c>
      <c r="K252" s="266">
        <v>59495899.979999997</v>
      </c>
      <c r="L252" s="250" t="s">
        <v>546</v>
      </c>
    </row>
    <row r="253" spans="1:12" ht="15" customHeight="1">
      <c r="A253" s="143" t="s">
        <v>545</v>
      </c>
      <c r="B253" s="468">
        <v>45905</v>
      </c>
      <c r="C253" s="250" t="s">
        <v>510</v>
      </c>
      <c r="D253" s="461" t="str">
        <f>IFERROR(VLOOKUP(C253,'Base de Monedas'!A:B,2,0),"")</f>
        <v>Dólar estadounidense</v>
      </c>
      <c r="E253" s="266">
        <v>58463798.079999998</v>
      </c>
      <c r="F253" s="30" t="s">
        <v>546</v>
      </c>
      <c r="G253" s="150"/>
      <c r="H253" s="468">
        <v>45905</v>
      </c>
      <c r="I253" s="462" t="s">
        <v>510</v>
      </c>
      <c r="J253" s="461" t="str">
        <f>IFERROR(VLOOKUP(I253,'Base de Monedas'!A:B,2,0),"")</f>
        <v>Dólar estadounidense</v>
      </c>
      <c r="K253" s="266">
        <v>57431308.659999996</v>
      </c>
      <c r="L253" s="250" t="s">
        <v>546</v>
      </c>
    </row>
    <row r="254" spans="1:12" ht="15" customHeight="1">
      <c r="A254" s="143" t="s">
        <v>545</v>
      </c>
      <c r="B254" s="468">
        <v>45935</v>
      </c>
      <c r="C254" s="250" t="s">
        <v>510</v>
      </c>
      <c r="D254" s="461" t="str">
        <f>IFERROR(VLOOKUP(C254,'Base de Monedas'!A:B,2,0),"")</f>
        <v>Dólar estadounidense</v>
      </c>
      <c r="E254" s="266">
        <v>56348197.759999998</v>
      </c>
      <c r="F254" s="30" t="s">
        <v>549</v>
      </c>
      <c r="G254" s="150"/>
      <c r="H254" s="468">
        <v>45935</v>
      </c>
      <c r="I254" s="462" t="s">
        <v>510</v>
      </c>
      <c r="J254" s="461" t="str">
        <f>IFERROR(VLOOKUP(I254,'Base de Monedas'!A:B,2,0),"")</f>
        <v>Dólar estadounidense</v>
      </c>
      <c r="K254" s="266">
        <v>55353070.520000003</v>
      </c>
      <c r="L254" s="250" t="s">
        <v>549</v>
      </c>
    </row>
    <row r="255" spans="1:12" ht="15" customHeight="1">
      <c r="A255" s="143" t="s">
        <v>545</v>
      </c>
      <c r="B255" s="468">
        <v>45966</v>
      </c>
      <c r="C255" s="250" t="s">
        <v>510</v>
      </c>
      <c r="D255" s="461" t="str">
        <f>IFERROR(VLOOKUP(C255,'Base de Monedas'!A:B,2,0),"")</f>
        <v>Dólar estadounidense</v>
      </c>
      <c r="E255" s="266">
        <v>54218465.759999998</v>
      </c>
      <c r="F255" s="30" t="s">
        <v>549</v>
      </c>
      <c r="G255" s="150"/>
      <c r="H255" s="468">
        <v>45966</v>
      </c>
      <c r="I255" s="462" t="s">
        <v>510</v>
      </c>
      <c r="J255" s="461" t="str">
        <f>IFERROR(VLOOKUP(I255,'Base de Monedas'!A:B,2,0),"")</f>
        <v>Dólar estadounidense</v>
      </c>
      <c r="K255" s="266">
        <v>53260950.270000003</v>
      </c>
      <c r="L255" s="250" t="s">
        <v>549</v>
      </c>
    </row>
    <row r="256" spans="1:12" ht="15" customHeight="1">
      <c r="A256" s="143" t="s">
        <v>545</v>
      </c>
      <c r="B256" s="468">
        <v>45996</v>
      </c>
      <c r="C256" s="250" t="s">
        <v>510</v>
      </c>
      <c r="D256" s="461" t="str">
        <f>IFERROR(VLOOKUP(C256,'Base de Monedas'!A:B,2,0),"")</f>
        <v>Dólar estadounidense</v>
      </c>
      <c r="E256" s="266">
        <v>52074681.920000002</v>
      </c>
      <c r="F256" s="30" t="s">
        <v>549</v>
      </c>
      <c r="G256" s="150"/>
      <c r="H256" s="468">
        <v>45996</v>
      </c>
      <c r="I256" s="462" t="s">
        <v>510</v>
      </c>
      <c r="J256" s="461" t="str">
        <f>IFERROR(VLOOKUP(I256,'Base de Monedas'!A:B,2,0),"")</f>
        <v>Dólar estadounidense</v>
      </c>
      <c r="K256" s="266">
        <v>51155025</v>
      </c>
      <c r="L256" s="250" t="s">
        <v>549</v>
      </c>
    </row>
    <row r="257" spans="1:14" ht="15" customHeight="1">
      <c r="A257" s="143" t="s">
        <v>545</v>
      </c>
      <c r="B257" s="468">
        <v>46027</v>
      </c>
      <c r="C257" s="250" t="s">
        <v>510</v>
      </c>
      <c r="D257" s="461" t="str">
        <f>IFERROR(VLOOKUP(C257,'Base de Monedas'!A:B,2,0),"")</f>
        <v>Dólar estadounidense</v>
      </c>
      <c r="E257" s="266">
        <v>49916127.68</v>
      </c>
      <c r="F257" s="30" t="s">
        <v>549</v>
      </c>
      <c r="G257" s="150"/>
      <c r="H257" s="496" t="s">
        <v>535</v>
      </c>
      <c r="I257" s="462" t="s">
        <v>535</v>
      </c>
      <c r="J257" s="461" t="str">
        <f>IFERROR(VLOOKUP(I257,'Base de Monedas'!A:B,2,0),"")</f>
        <v/>
      </c>
      <c r="K257" s="266" t="s">
        <v>535</v>
      </c>
      <c r="L257" s="250" t="s">
        <v>535</v>
      </c>
    </row>
    <row r="258" spans="1:14" ht="15" customHeight="1">
      <c r="A258" s="143" t="s">
        <v>545</v>
      </c>
      <c r="B258" s="468">
        <v>46058</v>
      </c>
      <c r="C258" s="250" t="s">
        <v>510</v>
      </c>
      <c r="D258" s="461" t="str">
        <f>IFERROR(VLOOKUP(C258,'Base de Monedas'!A:B,2,0),"")</f>
        <v>Dólar estadounidense</v>
      </c>
      <c r="E258" s="266">
        <v>47743601.439999998</v>
      </c>
      <c r="F258" s="30" t="s">
        <v>549</v>
      </c>
      <c r="G258" s="150"/>
      <c r="H258" s="496" t="s">
        <v>535</v>
      </c>
      <c r="I258" s="462" t="s">
        <v>535</v>
      </c>
      <c r="J258" s="461" t="str">
        <f>IFERROR(VLOOKUP(I258,'Base de Monedas'!A:B,2,0),"")</f>
        <v/>
      </c>
      <c r="K258" s="266" t="s">
        <v>535</v>
      </c>
      <c r="L258" s="250" t="s">
        <v>535</v>
      </c>
    </row>
    <row r="259" spans="1:14" ht="15" customHeight="1">
      <c r="A259" s="143" t="s">
        <v>545</v>
      </c>
      <c r="B259" s="468">
        <v>46086</v>
      </c>
      <c r="C259" s="250" t="s">
        <v>510</v>
      </c>
      <c r="D259" s="461" t="str">
        <f>IFERROR(VLOOKUP(C259,'Base de Monedas'!A:B,2,0),"")</f>
        <v>Dólar estadounidense</v>
      </c>
      <c r="E259" s="266">
        <v>45556384.640000001</v>
      </c>
      <c r="F259" s="30" t="s">
        <v>549</v>
      </c>
      <c r="G259" s="150"/>
      <c r="H259" s="496" t="s">
        <v>535</v>
      </c>
      <c r="I259" s="462" t="s">
        <v>535</v>
      </c>
      <c r="J259" s="461" t="str">
        <f>IFERROR(VLOOKUP(I259,'Base de Monedas'!A:B,2,0),"")</f>
        <v/>
      </c>
      <c r="K259" s="266" t="s">
        <v>535</v>
      </c>
      <c r="L259" s="250" t="s">
        <v>535</v>
      </c>
    </row>
    <row r="260" spans="1:14" ht="15" customHeight="1">
      <c r="A260" s="497" t="s">
        <v>543</v>
      </c>
      <c r="B260" s="498"/>
      <c r="C260" s="499" t="s">
        <v>510</v>
      </c>
      <c r="D260" s="10" t="str">
        <f>IFERROR(VLOOKUP(C260,'Base de Monedas'!A:B,2,0),"")</f>
        <v>Dólar estadounidense</v>
      </c>
      <c r="E260" s="483">
        <v>-872618594</v>
      </c>
      <c r="F260" s="500"/>
      <c r="H260" s="501" t="s">
        <v>535</v>
      </c>
      <c r="I260" s="498" t="s">
        <v>510</v>
      </c>
      <c r="J260" s="10" t="str">
        <f>IFERROR(VLOOKUP(I260,'Base de Monedas'!A:B,2,0),"")</f>
        <v>Dólar estadounidense</v>
      </c>
      <c r="K260" s="502">
        <v>-1069683084</v>
      </c>
      <c r="L260" s="500"/>
      <c r="N260" s="300"/>
    </row>
    <row r="261" spans="1:14" ht="15" customHeight="1">
      <c r="A261" s="486" t="s">
        <v>550</v>
      </c>
      <c r="B261" s="487"/>
      <c r="C261" s="151"/>
      <c r="D261" s="150"/>
      <c r="E261" s="266"/>
      <c r="F261" s="150"/>
      <c r="G261" s="151"/>
      <c r="H261" s="488"/>
      <c r="I261" s="186"/>
      <c r="J261" s="150"/>
      <c r="K261" s="489"/>
      <c r="L261" s="5"/>
    </row>
    <row r="262" spans="1:14" ht="15" customHeight="1">
      <c r="A262" s="494" t="s">
        <v>551</v>
      </c>
      <c r="B262" s="470"/>
      <c r="C262" s="30"/>
      <c r="D262" s="461" t="str">
        <f>IFERROR(VLOOKUP(C262,'Base de Monedas'!A:B,2,0),"")</f>
        <v/>
      </c>
      <c r="E262" s="266"/>
      <c r="F262" s="30"/>
      <c r="G262" s="503"/>
      <c r="H262" s="470">
        <v>45719</v>
      </c>
      <c r="I262" s="461" t="s">
        <v>513</v>
      </c>
      <c r="J262" s="461" t="str">
        <f>IFERROR(VLOOKUP(I262,'Base de Monedas'!A:B,2,0),"")</f>
        <v>Guaraní</v>
      </c>
      <c r="K262" s="465">
        <v>10000000000</v>
      </c>
      <c r="L262" s="471" t="s">
        <v>549</v>
      </c>
    </row>
    <row r="263" spans="1:14" ht="15" customHeight="1">
      <c r="A263" s="494" t="s">
        <v>552</v>
      </c>
      <c r="B263" s="470"/>
      <c r="C263" s="30"/>
      <c r="D263" s="461" t="str">
        <f>IFERROR(VLOOKUP(C263,'Base de Monedas'!A:B,2,0),"")</f>
        <v/>
      </c>
      <c r="E263" s="266"/>
      <c r="F263" s="30"/>
      <c r="G263" s="151"/>
      <c r="H263" s="470">
        <v>45719</v>
      </c>
      <c r="I263" s="461" t="s">
        <v>510</v>
      </c>
      <c r="J263" s="461" t="str">
        <f>IFERROR(VLOOKUP(I263,'Base de Monedas'!A:B,2,0),"")</f>
        <v>Dólar estadounidense</v>
      </c>
      <c r="K263" s="465">
        <v>23529000000</v>
      </c>
      <c r="L263" s="471" t="s">
        <v>549</v>
      </c>
    </row>
    <row r="264" spans="1:14" ht="15" customHeight="1">
      <c r="A264" s="486" t="s">
        <v>553</v>
      </c>
      <c r="B264" s="487"/>
      <c r="C264" s="151"/>
      <c r="D264" s="150"/>
      <c r="E264" s="266"/>
      <c r="F264" s="150"/>
      <c r="G264" s="150"/>
      <c r="H264" s="471"/>
      <c r="I264" s="186"/>
      <c r="J264" s="461"/>
      <c r="K264" s="465"/>
      <c r="L264" s="471"/>
    </row>
    <row r="265" spans="1:14" ht="15" customHeight="1">
      <c r="A265" s="494" t="s">
        <v>552</v>
      </c>
      <c r="B265" s="470"/>
      <c r="C265" s="30"/>
      <c r="D265" s="461"/>
      <c r="E265" s="504"/>
      <c r="F265" s="250"/>
      <c r="G265" s="150"/>
      <c r="H265" s="468">
        <v>45719</v>
      </c>
      <c r="I265" s="462" t="s">
        <v>510</v>
      </c>
      <c r="J265" s="461" t="str">
        <f>IFERROR(VLOOKUP(I265,'Base de Monedas'!A:B,2,0),"")</f>
        <v>Dólar estadounidense</v>
      </c>
      <c r="K265" s="462">
        <v>659456616.16999996</v>
      </c>
      <c r="L265" s="250" t="s">
        <v>549</v>
      </c>
    </row>
    <row r="266" spans="1:14" ht="15" customHeight="1">
      <c r="A266" s="494" t="s">
        <v>551</v>
      </c>
      <c r="B266" s="470"/>
      <c r="C266" s="30"/>
      <c r="D266" s="461"/>
      <c r="E266" s="462"/>
      <c r="F266" s="250"/>
      <c r="G266" s="150"/>
      <c r="H266" s="468">
        <v>45719</v>
      </c>
      <c r="I266" s="462" t="s">
        <v>513</v>
      </c>
      <c r="J266" s="461" t="str">
        <f>IFERROR(VLOOKUP(I266,'Base de Monedas'!A:B,2,0),"")</f>
        <v>Guaraní</v>
      </c>
      <c r="K266" s="462">
        <v>382191781</v>
      </c>
      <c r="L266" s="250" t="s">
        <v>549</v>
      </c>
    </row>
    <row r="267" spans="1:14" ht="15" customHeight="1">
      <c r="A267" s="494" t="s">
        <v>554</v>
      </c>
      <c r="B267" s="470">
        <v>45792</v>
      </c>
      <c r="C267" s="30" t="s">
        <v>510</v>
      </c>
      <c r="D267" s="461" t="str">
        <f>IFERROR(VLOOKUP(C267,'Base de Monedas'!A:B,2,0),"")</f>
        <v>Dólar estadounidense</v>
      </c>
      <c r="E267" s="462">
        <v>656875376.48000002</v>
      </c>
      <c r="F267" s="250" t="s">
        <v>549</v>
      </c>
      <c r="G267" s="150"/>
      <c r="H267" s="468">
        <v>45792</v>
      </c>
      <c r="I267" s="462" t="s">
        <v>510</v>
      </c>
      <c r="J267" s="461" t="str">
        <f>IFERROR(VLOOKUP(I267,'Base de Monedas'!A:B,2,0),"")</f>
        <v>Dólar estadounidense</v>
      </c>
      <c r="K267" s="462">
        <v>645274746.71000004</v>
      </c>
      <c r="L267" s="250" t="s">
        <v>549</v>
      </c>
    </row>
    <row r="268" spans="1:14" ht="15" customHeight="1">
      <c r="A268" s="494" t="s">
        <v>555</v>
      </c>
      <c r="B268" s="470">
        <v>45792</v>
      </c>
      <c r="C268" s="30" t="s">
        <v>513</v>
      </c>
      <c r="D268" s="461" t="str">
        <f>IFERROR(VLOOKUP(C268,'Base de Monedas'!A:B,2,0),"")</f>
        <v>Guaraní</v>
      </c>
      <c r="E268" s="266">
        <v>797808219</v>
      </c>
      <c r="F268" s="250" t="s">
        <v>549</v>
      </c>
      <c r="G268" s="150"/>
      <c r="H268" s="468">
        <v>45792</v>
      </c>
      <c r="I268" s="462" t="s">
        <v>513</v>
      </c>
      <c r="J268" s="461" t="str">
        <f>IFERROR(VLOOKUP(I268,'Base de Monedas'!A:B,2,0),"")</f>
        <v>Guaraní</v>
      </c>
      <c r="K268" s="462">
        <v>797808219</v>
      </c>
      <c r="L268" s="250" t="s">
        <v>549</v>
      </c>
    </row>
    <row r="269" spans="1:14" ht="15" customHeight="1">
      <c r="A269" s="494" t="s">
        <v>556</v>
      </c>
      <c r="B269" s="470">
        <v>45821</v>
      </c>
      <c r="C269" s="30" t="s">
        <v>510</v>
      </c>
      <c r="D269" s="461" t="str">
        <f>IFERROR(VLOOKUP(C269,'Base de Monedas'!A:B,2,0),"")</f>
        <v>Dólar estadounidense</v>
      </c>
      <c r="E269" s="462">
        <v>716591305.27999997</v>
      </c>
      <c r="F269" s="250" t="s">
        <v>549</v>
      </c>
      <c r="G269" s="150"/>
      <c r="H269" s="468">
        <v>45821</v>
      </c>
      <c r="I269" s="462" t="s">
        <v>510</v>
      </c>
      <c r="J269" s="461" t="str">
        <f>IFERROR(VLOOKUP(I269,'Base de Monedas'!A:B,2,0),"")</f>
        <v>Dólar estadounidense</v>
      </c>
      <c r="K269" s="462">
        <v>703936073.05999994</v>
      </c>
      <c r="L269" s="250" t="s">
        <v>549</v>
      </c>
    </row>
    <row r="270" spans="1:14" ht="15" customHeight="1">
      <c r="A270" s="494" t="s">
        <v>557</v>
      </c>
      <c r="B270" s="470">
        <v>45821</v>
      </c>
      <c r="C270" s="30" t="s">
        <v>513</v>
      </c>
      <c r="D270" s="461" t="str">
        <f>IFERROR(VLOOKUP(C270,'Base de Monedas'!A:B,2,0),"")</f>
        <v>Guaraní</v>
      </c>
      <c r="E270" s="266">
        <v>448767123</v>
      </c>
      <c r="F270" s="250" t="s">
        <v>549</v>
      </c>
      <c r="G270" s="150"/>
      <c r="H270" s="468">
        <v>45821</v>
      </c>
      <c r="I270" s="462" t="s">
        <v>513</v>
      </c>
      <c r="J270" s="461" t="str">
        <f>IFERROR(VLOOKUP(I270,'Base de Monedas'!A:B,2,0),"")</f>
        <v>Guaraní</v>
      </c>
      <c r="K270" s="462">
        <v>448767123</v>
      </c>
      <c r="L270" s="250" t="s">
        <v>549</v>
      </c>
    </row>
    <row r="271" spans="1:14" ht="15" customHeight="1">
      <c r="A271" s="494" t="s">
        <v>554</v>
      </c>
      <c r="B271" s="470">
        <v>45974</v>
      </c>
      <c r="C271" s="30" t="s">
        <v>510</v>
      </c>
      <c r="D271" s="461" t="str">
        <f>IFERROR(VLOOKUP(C271,'Base de Monedas'!A:B,2,0),"")</f>
        <v>Dólar estadounidense</v>
      </c>
      <c r="E271" s="266">
        <v>656875376.48000002</v>
      </c>
      <c r="F271" s="250" t="s">
        <v>549</v>
      </c>
      <c r="G271" s="150"/>
      <c r="H271" s="468">
        <v>45974</v>
      </c>
      <c r="I271" s="462" t="s">
        <v>510</v>
      </c>
      <c r="J271" s="461" t="str">
        <f>IFERROR(VLOOKUP(I271,'Base de Monedas'!A:B,2,0),"")</f>
        <v>Dólar estadounidense</v>
      </c>
      <c r="K271" s="462">
        <v>645274746.71000004</v>
      </c>
      <c r="L271" s="250" t="s">
        <v>549</v>
      </c>
    </row>
    <row r="272" spans="1:14" ht="15" customHeight="1">
      <c r="A272" s="494" t="s">
        <v>555</v>
      </c>
      <c r="B272" s="470">
        <v>45974</v>
      </c>
      <c r="C272" s="30" t="s">
        <v>513</v>
      </c>
      <c r="D272" s="461" t="str">
        <f>IFERROR(VLOOKUP(C272,'Base de Monedas'!A:B,2,0),"")</f>
        <v>Guaraní</v>
      </c>
      <c r="E272" s="462">
        <v>797808219</v>
      </c>
      <c r="F272" s="250" t="s">
        <v>549</v>
      </c>
      <c r="G272" s="150"/>
      <c r="H272" s="468">
        <v>45974</v>
      </c>
      <c r="I272" s="462" t="s">
        <v>513</v>
      </c>
      <c r="J272" s="461" t="str">
        <f>IFERROR(VLOOKUP(I272,'Base de Monedas'!A:B,2,0),"")</f>
        <v>Guaraní</v>
      </c>
      <c r="K272" s="462">
        <v>797808219</v>
      </c>
      <c r="L272" s="250" t="s">
        <v>549</v>
      </c>
    </row>
    <row r="273" spans="1:12" ht="15" customHeight="1">
      <c r="A273" s="494" t="s">
        <v>556</v>
      </c>
      <c r="B273" s="470">
        <v>46003</v>
      </c>
      <c r="C273" s="30" t="s">
        <v>510</v>
      </c>
      <c r="D273" s="461" t="str">
        <f>IFERROR(VLOOKUP(C273,'Base de Monedas'!A:B,2,0),"")</f>
        <v>Dólar estadounidense</v>
      </c>
      <c r="E273" s="266">
        <v>716591305.27999997</v>
      </c>
      <c r="F273" s="250" t="s">
        <v>549</v>
      </c>
      <c r="G273" s="150"/>
      <c r="H273" s="468">
        <v>46003</v>
      </c>
      <c r="I273" s="462" t="s">
        <v>510</v>
      </c>
      <c r="J273" s="461" t="str">
        <f>IFERROR(VLOOKUP(I273,'Base de Monedas'!A:B,2,0),"")</f>
        <v>Dólar estadounidense</v>
      </c>
      <c r="K273" s="462">
        <v>703936073.05999994</v>
      </c>
      <c r="L273" s="250" t="s">
        <v>549</v>
      </c>
    </row>
    <row r="274" spans="1:12" ht="15" customHeight="1">
      <c r="A274" s="494" t="s">
        <v>558</v>
      </c>
      <c r="B274" s="470">
        <v>46003</v>
      </c>
      <c r="C274" s="30" t="s">
        <v>513</v>
      </c>
      <c r="D274" s="461" t="str">
        <f>IFERROR(VLOOKUP(C274,'Base de Monedas'!A:B,2,0),"")</f>
        <v>Guaraní</v>
      </c>
      <c r="E274" s="462">
        <v>448767123</v>
      </c>
      <c r="F274" s="250" t="s">
        <v>549</v>
      </c>
      <c r="G274" s="150"/>
      <c r="H274" s="468">
        <v>46003</v>
      </c>
      <c r="I274" s="462" t="s">
        <v>513</v>
      </c>
      <c r="J274" s="461" t="str">
        <f>IFERROR(VLOOKUP(I274,'Base de Monedas'!A:B,2,0),"")</f>
        <v>Guaraní</v>
      </c>
      <c r="K274" s="462">
        <v>448767123</v>
      </c>
      <c r="L274" s="250" t="s">
        <v>549</v>
      </c>
    </row>
    <row r="275" spans="1:12" s="302" customFormat="1" ht="15" customHeight="1">
      <c r="A275" s="54" t="s">
        <v>559</v>
      </c>
      <c r="B275" s="470" t="s">
        <v>535</v>
      </c>
      <c r="C275" s="500" t="s">
        <v>510</v>
      </c>
      <c r="D275" s="10" t="str">
        <f>IFERROR(VLOOKUP(C275,'Base de Monedas'!A:B,2,0),"")</f>
        <v>Dólar estadounidense</v>
      </c>
      <c r="E275" s="505">
        <v>-2746931607</v>
      </c>
      <c r="F275" s="500" t="s">
        <v>549</v>
      </c>
      <c r="G275" s="54"/>
      <c r="H275" s="501" t="s">
        <v>535</v>
      </c>
      <c r="I275" s="10" t="s">
        <v>510</v>
      </c>
      <c r="J275" s="10" t="str">
        <f>IFERROR(VLOOKUP(I275,'Base de Monedas'!A:B,2,0),"")</f>
        <v>Dólar estadounidense</v>
      </c>
      <c r="K275" s="502">
        <v>-2471575571</v>
      </c>
      <c r="L275" s="500" t="s">
        <v>549</v>
      </c>
    </row>
    <row r="276" spans="1:12" s="302" customFormat="1" ht="15" customHeight="1">
      <c r="A276" s="54" t="s">
        <v>559</v>
      </c>
      <c r="B276" s="470" t="s">
        <v>535</v>
      </c>
      <c r="C276" s="500" t="s">
        <v>513</v>
      </c>
      <c r="D276" s="10" t="str">
        <f>IFERROR(VLOOKUP(C276,'Base de Monedas'!A:B,2,0),"")</f>
        <v>Guaraní</v>
      </c>
      <c r="E276" s="505">
        <v>-701531458</v>
      </c>
      <c r="F276" s="500" t="s">
        <v>549</v>
      </c>
      <c r="G276" s="54"/>
      <c r="H276" s="501" t="s">
        <v>535</v>
      </c>
      <c r="I276" s="10" t="s">
        <v>513</v>
      </c>
      <c r="J276" s="10" t="str">
        <f>IFERROR(VLOOKUP(I276,'Base de Monedas'!A:B,2,0),"")</f>
        <v>Guaraní</v>
      </c>
      <c r="K276" s="502">
        <v>-2583013639</v>
      </c>
      <c r="L276" s="500" t="s">
        <v>549</v>
      </c>
    </row>
    <row r="277" spans="1:12" ht="15" customHeight="1">
      <c r="A277" s="6" t="s">
        <v>560</v>
      </c>
      <c r="B277" s="470">
        <v>45762</v>
      </c>
      <c r="C277" s="30" t="s">
        <v>513</v>
      </c>
      <c r="D277" s="461" t="str">
        <f>IFERROR(VLOOKUP(C277,'Base de Monedas'!A:B,2,0),"")</f>
        <v>Guaraní</v>
      </c>
      <c r="E277" s="504">
        <v>53465809</v>
      </c>
      <c r="F277" s="30" t="s">
        <v>549</v>
      </c>
      <c r="G277" s="150"/>
      <c r="H277" s="470">
        <v>45664</v>
      </c>
      <c r="I277" s="487" t="s">
        <v>513</v>
      </c>
      <c r="J277" s="461" t="str">
        <f>IFERROR(VLOOKUP(I277,'Base de Monedas'!A:B,2,0),"")</f>
        <v>Guaraní</v>
      </c>
      <c r="K277" s="465">
        <v>38615140</v>
      </c>
      <c r="L277" s="30" t="s">
        <v>549</v>
      </c>
    </row>
    <row r="278" spans="1:12" ht="15" customHeight="1">
      <c r="A278" s="54" t="s">
        <v>257</v>
      </c>
      <c r="B278" s="506"/>
      <c r="C278" s="432"/>
      <c r="D278" s="162" t="str">
        <f>IFERROR(VLOOKUP(C278,'Base de Monedas'!A:B,2,0),"")</f>
        <v/>
      </c>
      <c r="E278" s="507">
        <f>SUM(E12:E277)-2</f>
        <v>353106006637.07996</v>
      </c>
      <c r="F278" s="432"/>
      <c r="K278" s="508">
        <f>SUM(K12:K277)</f>
        <v>453889396803.42987</v>
      </c>
    </row>
    <row r="279" spans="1:12" ht="15" customHeight="1">
      <c r="A279" s="509"/>
      <c r="B279" s="510"/>
      <c r="C279" s="511"/>
      <c r="D279" s="512"/>
      <c r="E279" s="513"/>
      <c r="F279" s="512"/>
      <c r="G279" s="512"/>
      <c r="H279" s="511"/>
      <c r="I279" s="511"/>
      <c r="J279" s="512"/>
      <c r="K279" s="512"/>
      <c r="L279" s="28"/>
    </row>
    <row r="280" spans="1:12" ht="15" customHeight="1">
      <c r="F280" s="432"/>
    </row>
    <row r="281" spans="1:12" ht="15" customHeight="1">
      <c r="A281" s="302" t="s">
        <v>516</v>
      </c>
      <c r="D281" s="350"/>
      <c r="E281" s="514"/>
      <c r="F281" s="432"/>
      <c r="H281" s="515"/>
      <c r="I281" s="299"/>
      <c r="J281" s="350"/>
      <c r="K281" s="350"/>
    </row>
    <row r="282" spans="1:12" ht="15" customHeight="1">
      <c r="A282" s="170"/>
      <c r="B282" s="448"/>
      <c r="C282" s="367"/>
      <c r="D282" s="366">
        <f>IFERROR(YEAR(Indice!B8),"2XX2")</f>
        <v>2025</v>
      </c>
      <c r="E282" s="516"/>
      <c r="F282" s="367"/>
      <c r="H282" s="367"/>
      <c r="I282" s="367"/>
      <c r="J282" s="366">
        <f>IFERROR(YEAR(Indice!B8-365),"2XX1")</f>
        <v>2024</v>
      </c>
      <c r="K282" s="449"/>
      <c r="L282" s="286"/>
    </row>
    <row r="283" spans="1:12" ht="15" customHeight="1">
      <c r="A283" s="450" t="s">
        <v>520</v>
      </c>
      <c r="B283" s="451" t="s">
        <v>521</v>
      </c>
      <c r="C283" s="452" t="s">
        <v>522</v>
      </c>
      <c r="D283" s="452" t="s">
        <v>523</v>
      </c>
      <c r="E283" s="244" t="s">
        <v>561</v>
      </c>
      <c r="F283" s="453" t="s">
        <v>562</v>
      </c>
      <c r="H283" s="453" t="s">
        <v>521</v>
      </c>
      <c r="I283" s="452" t="s">
        <v>522</v>
      </c>
      <c r="J283" s="452" t="s">
        <v>523</v>
      </c>
      <c r="K283" s="454" t="s">
        <v>561</v>
      </c>
      <c r="L283" s="455" t="s">
        <v>525</v>
      </c>
    </row>
    <row r="284" spans="1:12" ht="15" customHeight="1">
      <c r="A284" s="456" t="s">
        <v>527</v>
      </c>
      <c r="B284" s="460"/>
      <c r="C284" s="517"/>
      <c r="D284" s="492"/>
      <c r="E284" s="518"/>
      <c r="F284" s="519"/>
      <c r="G284" s="492"/>
      <c r="H284" s="517"/>
      <c r="I284" s="463"/>
      <c r="J284" s="517"/>
      <c r="K284" s="492"/>
      <c r="L284" s="266"/>
    </row>
    <row r="285" spans="1:12" ht="15" customHeight="1">
      <c r="A285" s="6" t="s">
        <v>538</v>
      </c>
      <c r="B285" s="470"/>
      <c r="C285" s="30"/>
      <c r="D285" s="461" t="str">
        <f>IFERROR(VLOOKUP(C285,'Base de Monedas'!A:B,2,0),"")</f>
        <v/>
      </c>
      <c r="E285" s="520" t="s">
        <v>535</v>
      </c>
      <c r="F285" s="471" t="s">
        <v>535</v>
      </c>
      <c r="G285" s="30"/>
      <c r="H285" s="471">
        <v>46073</v>
      </c>
      <c r="I285" s="461" t="s">
        <v>510</v>
      </c>
      <c r="J285" s="461" t="str">
        <f>IFERROR(VLOOKUP(I285,'Base de Monedas'!A:B,2,0),"")</f>
        <v>Dólar estadounidense</v>
      </c>
      <c r="K285" s="489">
        <v>7843000000</v>
      </c>
      <c r="L285" s="521" t="s">
        <v>529</v>
      </c>
    </row>
    <row r="286" spans="1:12" ht="15" customHeight="1">
      <c r="A286" s="456" t="s">
        <v>539</v>
      </c>
      <c r="B286" s="468"/>
      <c r="C286" s="250"/>
      <c r="D286" s="143"/>
      <c r="E286" s="266"/>
      <c r="F286" s="250"/>
      <c r="G286" s="143"/>
      <c r="H286" s="478"/>
      <c r="I286" s="469"/>
      <c r="J286" s="469" t="str">
        <f>IFERROR(VLOOKUP(I286,'Base de Monedas'!A:B,2,0),"")</f>
        <v/>
      </c>
      <c r="K286" s="266"/>
      <c r="L286" s="522"/>
    </row>
    <row r="287" spans="1:12" ht="15" customHeight="1">
      <c r="A287" s="456" t="s">
        <v>527</v>
      </c>
      <c r="B287" s="468"/>
      <c r="C287" s="250"/>
      <c r="D287" s="143"/>
      <c r="E287" s="523"/>
      <c r="F287" s="522"/>
      <c r="G287" s="143"/>
      <c r="H287" s="478"/>
      <c r="I287" s="469"/>
      <c r="J287" s="469" t="str">
        <f>IFERROR(VLOOKUP(I287,'Base de Monedas'!A:B,2,0),"")</f>
        <v/>
      </c>
      <c r="K287" s="266"/>
      <c r="L287" s="522"/>
    </row>
    <row r="288" spans="1:12" ht="15" customHeight="1">
      <c r="A288" s="6" t="s">
        <v>538</v>
      </c>
      <c r="B288" s="468"/>
      <c r="C288" s="30"/>
      <c r="D288" s="461" t="str">
        <f>IFERROR(VLOOKUP(C288,'Base de Monedas'!A:B,2,0),"")</f>
        <v/>
      </c>
      <c r="E288" s="504"/>
      <c r="F288" s="30"/>
      <c r="G288" s="5"/>
      <c r="H288" s="471">
        <v>46073</v>
      </c>
      <c r="I288" s="461" t="s">
        <v>510</v>
      </c>
      <c r="J288" s="461" t="str">
        <f>IFERROR(VLOOKUP(I288,'Base de Monedas'!A:B,2,0),"")</f>
        <v>Dólar estadounidense</v>
      </c>
      <c r="K288" s="489">
        <v>730795681.44000006</v>
      </c>
      <c r="L288" s="521" t="s">
        <v>529</v>
      </c>
    </row>
    <row r="289" spans="1:12" ht="15" customHeight="1">
      <c r="A289" s="54" t="s">
        <v>543</v>
      </c>
      <c r="B289" s="498"/>
      <c r="C289" s="500"/>
      <c r="D289" s="10" t="str">
        <f>IFERROR(VLOOKUP(C289,'Base de Monedas'!A:B,2,0),"")</f>
        <v/>
      </c>
      <c r="E289" s="524"/>
      <c r="F289" s="500"/>
      <c r="G289" s="54"/>
      <c r="H289" s="501"/>
      <c r="I289" s="10" t="s">
        <v>510</v>
      </c>
      <c r="J289" s="10" t="str">
        <f>IFERROR(VLOOKUP(I289,'Base de Monedas'!A:B,2,0),"")</f>
        <v>Dólar estadounidense</v>
      </c>
      <c r="K289" s="502">
        <v>-730795681.44000006</v>
      </c>
      <c r="L289" s="525" t="s">
        <v>529</v>
      </c>
    </row>
    <row r="290" spans="1:12" ht="15" customHeight="1">
      <c r="A290" s="456" t="s">
        <v>550</v>
      </c>
      <c r="B290" s="460"/>
      <c r="C290" s="517"/>
      <c r="D290" s="492"/>
      <c r="E290" s="519"/>
      <c r="F290" s="492"/>
      <c r="G290" s="492"/>
      <c r="H290" s="463"/>
      <c r="I290" s="519"/>
      <c r="J290" s="492"/>
      <c r="K290" s="266"/>
    </row>
    <row r="291" spans="1:12" ht="15" customHeight="1">
      <c r="A291" s="143" t="s">
        <v>563</v>
      </c>
      <c r="B291" s="468">
        <v>46342</v>
      </c>
      <c r="C291" s="250" t="s">
        <v>513</v>
      </c>
      <c r="D291" s="461" t="str">
        <f>IFERROR(VLOOKUP(C291,'Base de Monedas'!A:B,2,0),"")</f>
        <v>Guaraní</v>
      </c>
      <c r="E291" s="266">
        <v>20000000000</v>
      </c>
      <c r="F291" s="30" t="s">
        <v>549</v>
      </c>
      <c r="G291" s="151"/>
      <c r="H291" s="468">
        <v>46342</v>
      </c>
      <c r="I291" s="469" t="s">
        <v>513</v>
      </c>
      <c r="J291" s="461" t="str">
        <f>IFERROR(VLOOKUP(I291,'Base de Monedas'!A:B,2,0),"")</f>
        <v>Guaraní</v>
      </c>
      <c r="K291" s="489">
        <v>20000000000</v>
      </c>
      <c r="L291" s="250" t="s">
        <v>549</v>
      </c>
    </row>
    <row r="292" spans="1:12" ht="15" customHeight="1">
      <c r="A292" s="143" t="s">
        <v>554</v>
      </c>
      <c r="B292" s="468">
        <v>46342</v>
      </c>
      <c r="C292" s="250" t="s">
        <v>510</v>
      </c>
      <c r="D292" s="461" t="str">
        <f>IFERROR(VLOOKUP(C292,'Base de Monedas'!A:B,2,0),"")</f>
        <v>Dólar estadounidense</v>
      </c>
      <c r="E292" s="266">
        <v>23952000000</v>
      </c>
      <c r="F292" s="30" t="s">
        <v>549</v>
      </c>
      <c r="G292" s="151"/>
      <c r="H292" s="468">
        <v>46342</v>
      </c>
      <c r="I292" s="469" t="s">
        <v>510</v>
      </c>
      <c r="J292" s="461" t="str">
        <f>IFERROR(VLOOKUP(I292,'Base de Monedas'!A:B,2,0),"")</f>
        <v>Dólar estadounidense</v>
      </c>
      <c r="K292" s="489">
        <v>23529000000</v>
      </c>
      <c r="L292" s="250" t="s">
        <v>549</v>
      </c>
    </row>
    <row r="293" spans="1:12" ht="15" customHeight="1">
      <c r="A293" s="143" t="s">
        <v>557</v>
      </c>
      <c r="B293" s="468">
        <v>46735</v>
      </c>
      <c r="C293" s="250" t="s">
        <v>513</v>
      </c>
      <c r="D293" s="461" t="str">
        <f>IFERROR(VLOOKUP(C293,'Base de Monedas'!A:B,2,0),"")</f>
        <v>Guaraní</v>
      </c>
      <c r="E293" s="266">
        <v>10000000000</v>
      </c>
      <c r="F293" s="30" t="s">
        <v>549</v>
      </c>
      <c r="G293" s="151"/>
      <c r="H293" s="468">
        <v>46735</v>
      </c>
      <c r="I293" s="469" t="s">
        <v>513</v>
      </c>
      <c r="J293" s="461" t="str">
        <f>IFERROR(VLOOKUP(I293,'Base de Monedas'!A:B,2,0),"")</f>
        <v>Guaraní</v>
      </c>
      <c r="K293" s="489">
        <v>10000000000</v>
      </c>
      <c r="L293" s="250" t="s">
        <v>549</v>
      </c>
    </row>
    <row r="294" spans="1:12" ht="15" customHeight="1">
      <c r="A294" s="143" t="s">
        <v>556</v>
      </c>
      <c r="B294" s="468">
        <v>46735</v>
      </c>
      <c r="C294" s="250" t="s">
        <v>510</v>
      </c>
      <c r="D294" s="461" t="str">
        <f>IFERROR(VLOOKUP(C294,'Base de Monedas'!A:B,2,0),"")</f>
        <v>Dólar estadounidense</v>
      </c>
      <c r="E294" s="266">
        <v>23952000000</v>
      </c>
      <c r="F294" s="30" t="s">
        <v>549</v>
      </c>
      <c r="G294" s="151"/>
      <c r="H294" s="468">
        <v>46735</v>
      </c>
      <c r="I294" s="469" t="s">
        <v>510</v>
      </c>
      <c r="J294" s="461" t="str">
        <f>IFERROR(VLOOKUP(I294,'Base de Monedas'!A:B,2,0),"")</f>
        <v>Dólar estadounidense</v>
      </c>
      <c r="K294" s="489">
        <v>23529000000</v>
      </c>
      <c r="L294" s="250" t="s">
        <v>549</v>
      </c>
    </row>
    <row r="295" spans="1:12" ht="15" customHeight="1">
      <c r="A295" s="456" t="s">
        <v>553</v>
      </c>
      <c r="B295" s="468"/>
      <c r="C295" s="250"/>
      <c r="D295" s="143"/>
      <c r="E295" s="266"/>
      <c r="F295" s="250"/>
      <c r="G295" s="492"/>
      <c r="H295" s="463"/>
      <c r="I295" s="519"/>
      <c r="J295" s="492"/>
      <c r="K295" s="266"/>
    </row>
    <row r="296" spans="1:12" ht="15" customHeight="1">
      <c r="A296" s="143" t="s">
        <v>554</v>
      </c>
      <c r="B296" s="468">
        <v>46156</v>
      </c>
      <c r="C296" s="250" t="s">
        <v>510</v>
      </c>
      <c r="D296" s="461" t="str">
        <f>IFERROR(VLOOKUP(C296,'Base de Monedas'!A:B,2,0),"")</f>
        <v>Dólar estadounidense</v>
      </c>
      <c r="E296" s="266">
        <v>656875376.48000002</v>
      </c>
      <c r="F296" s="30" t="s">
        <v>549</v>
      </c>
      <c r="G296" s="150"/>
      <c r="H296" s="468">
        <v>46156</v>
      </c>
      <c r="I296" s="469" t="s">
        <v>510</v>
      </c>
      <c r="J296" s="461" t="str">
        <f>IFERROR(VLOOKUP(I296,'Base de Monedas'!A:B,2,0),"")</f>
        <v>Dólar estadounidense</v>
      </c>
      <c r="K296" s="489">
        <v>645274746.71000004</v>
      </c>
      <c r="L296" s="250" t="s">
        <v>549</v>
      </c>
    </row>
    <row r="297" spans="1:12" ht="15" customHeight="1">
      <c r="A297" s="143" t="s">
        <v>554</v>
      </c>
      <c r="B297" s="468">
        <v>46342</v>
      </c>
      <c r="C297" s="250" t="s">
        <v>510</v>
      </c>
      <c r="D297" s="461" t="str">
        <f>IFERROR(VLOOKUP(C297,'Base de Monedas'!A:B,2,0),"")</f>
        <v>Dólar estadounidense</v>
      </c>
      <c r="E297" s="266">
        <v>671312204.96000004</v>
      </c>
      <c r="F297" s="30" t="s">
        <v>549</v>
      </c>
      <c r="G297" s="150"/>
      <c r="H297" s="468">
        <v>46342</v>
      </c>
      <c r="I297" s="469" t="s">
        <v>510</v>
      </c>
      <c r="J297" s="461" t="str">
        <f>IFERROR(VLOOKUP(I297,'Base de Monedas'!A:B,2,0),"")</f>
        <v>Dólar estadounidense</v>
      </c>
      <c r="K297" s="489">
        <v>659456616.16999996</v>
      </c>
      <c r="L297" s="250" t="s">
        <v>549</v>
      </c>
    </row>
    <row r="298" spans="1:12" ht="15" customHeight="1">
      <c r="A298" s="143" t="s">
        <v>555</v>
      </c>
      <c r="B298" s="468">
        <v>46156</v>
      </c>
      <c r="C298" s="250" t="s">
        <v>513</v>
      </c>
      <c r="D298" s="461" t="str">
        <f>IFERROR(VLOOKUP(C298,'Base de Monedas'!A:B,2,0),"")</f>
        <v>Guaraní</v>
      </c>
      <c r="E298" s="462">
        <v>797808219</v>
      </c>
      <c r="F298" s="30" t="s">
        <v>549</v>
      </c>
      <c r="G298" s="150"/>
      <c r="H298" s="468">
        <v>46156</v>
      </c>
      <c r="I298" s="469" t="s">
        <v>513</v>
      </c>
      <c r="J298" s="461" t="str">
        <f>IFERROR(VLOOKUP(I298,'Base de Monedas'!A:B,2,0),"")</f>
        <v>Guaraní</v>
      </c>
      <c r="K298" s="489">
        <v>797808219</v>
      </c>
      <c r="L298" s="250" t="s">
        <v>549</v>
      </c>
    </row>
    <row r="299" spans="1:12" ht="15" customHeight="1">
      <c r="A299" s="143" t="s">
        <v>555</v>
      </c>
      <c r="B299" s="468">
        <v>46342</v>
      </c>
      <c r="C299" s="250" t="s">
        <v>513</v>
      </c>
      <c r="D299" s="461" t="str">
        <f>IFERROR(VLOOKUP(C299,'Base de Monedas'!A:B,2,0),"")</f>
        <v>Guaraní</v>
      </c>
      <c r="E299" s="462">
        <v>815342466</v>
      </c>
      <c r="F299" s="30" t="s">
        <v>549</v>
      </c>
      <c r="G299" s="150"/>
      <c r="H299" s="468">
        <v>46342</v>
      </c>
      <c r="I299" s="469" t="s">
        <v>513</v>
      </c>
      <c r="J299" s="461" t="str">
        <f>IFERROR(VLOOKUP(I299,'Base de Monedas'!A:B,2,0),"")</f>
        <v>Guaraní</v>
      </c>
      <c r="K299" s="489">
        <v>815342466</v>
      </c>
      <c r="L299" s="250" t="s">
        <v>549</v>
      </c>
    </row>
    <row r="300" spans="1:12" ht="15" customHeight="1">
      <c r="A300" s="143" t="s">
        <v>556</v>
      </c>
      <c r="B300" s="468">
        <v>46185</v>
      </c>
      <c r="C300" s="250" t="s">
        <v>510</v>
      </c>
      <c r="D300" s="461" t="str">
        <f>IFERROR(VLOOKUP(C300,'Base de Monedas'!A:B,2,0),"")</f>
        <v>Dólar estadounidense</v>
      </c>
      <c r="E300" s="462">
        <v>716591305.27999997</v>
      </c>
      <c r="F300" s="30" t="s">
        <v>549</v>
      </c>
      <c r="G300" s="150"/>
      <c r="H300" s="468">
        <v>46185</v>
      </c>
      <c r="I300" s="469" t="s">
        <v>510</v>
      </c>
      <c r="J300" s="461" t="str">
        <f>IFERROR(VLOOKUP(I300,'Base de Monedas'!A:B,2,0),"")</f>
        <v>Dólar estadounidense</v>
      </c>
      <c r="K300" s="489">
        <v>703936073.05999994</v>
      </c>
      <c r="L300" s="250" t="s">
        <v>549</v>
      </c>
    </row>
    <row r="301" spans="1:12" ht="15" customHeight="1">
      <c r="A301" s="143" t="s">
        <v>556</v>
      </c>
      <c r="B301" s="468">
        <v>46367</v>
      </c>
      <c r="C301" s="250" t="s">
        <v>510</v>
      </c>
      <c r="D301" s="461" t="str">
        <f>IFERROR(VLOOKUP(C301,'Base de Monedas'!A:B,2,0),"")</f>
        <v>Dólar estadounidense</v>
      </c>
      <c r="E301" s="266">
        <v>716591305.27999997</v>
      </c>
      <c r="F301" s="30" t="s">
        <v>549</v>
      </c>
      <c r="G301" s="150"/>
      <c r="H301" s="468">
        <v>46367</v>
      </c>
      <c r="I301" s="469" t="s">
        <v>510</v>
      </c>
      <c r="J301" s="461" t="str">
        <f>IFERROR(VLOOKUP(I301,'Base de Monedas'!A:B,2,0),"")</f>
        <v>Dólar estadounidense</v>
      </c>
      <c r="K301" s="489">
        <v>703936073.05999994</v>
      </c>
      <c r="L301" s="250" t="s">
        <v>549</v>
      </c>
    </row>
    <row r="302" spans="1:12" ht="15" customHeight="1">
      <c r="A302" s="143" t="s">
        <v>556</v>
      </c>
      <c r="B302" s="468">
        <v>46549</v>
      </c>
      <c r="C302" s="250" t="s">
        <v>510</v>
      </c>
      <c r="D302" s="461" t="str">
        <f>IFERROR(VLOOKUP(C302,'Base de Monedas'!A:B,2,0),"")</f>
        <v>Dólar estadounidense</v>
      </c>
      <c r="E302" s="462">
        <v>716591305.27999997</v>
      </c>
      <c r="F302" s="30" t="s">
        <v>549</v>
      </c>
      <c r="G302" s="150"/>
      <c r="H302" s="468">
        <v>46549</v>
      </c>
      <c r="I302" s="469" t="s">
        <v>510</v>
      </c>
      <c r="J302" s="461" t="str">
        <f>IFERROR(VLOOKUP(I302,'Base de Monedas'!A:B,2,0),"")</f>
        <v>Dólar estadounidense</v>
      </c>
      <c r="K302" s="489">
        <v>703936073.05999994</v>
      </c>
      <c r="L302" s="250" t="s">
        <v>549</v>
      </c>
    </row>
    <row r="303" spans="1:12" ht="15" customHeight="1">
      <c r="A303" s="143" t="s">
        <v>556</v>
      </c>
      <c r="B303" s="468">
        <v>46735</v>
      </c>
      <c r="C303" s="250" t="s">
        <v>510</v>
      </c>
      <c r="D303" s="461" t="str">
        <f>IFERROR(VLOOKUP(C303,'Base de Monedas'!A:B,2,0),"")</f>
        <v>Dólar estadounidense</v>
      </c>
      <c r="E303" s="462">
        <v>732340623.51999998</v>
      </c>
      <c r="F303" s="30" t="s">
        <v>549</v>
      </c>
      <c r="G303" s="150"/>
      <c r="H303" s="468">
        <v>46735</v>
      </c>
      <c r="I303" s="469" t="s">
        <v>510</v>
      </c>
      <c r="J303" s="461" t="str">
        <f>IFERROR(VLOOKUP(I303,'Base de Monedas'!A:B,2,0),"")</f>
        <v>Dólar estadounidense</v>
      </c>
      <c r="K303" s="489">
        <v>719407253.28999996</v>
      </c>
      <c r="L303" s="250" t="s">
        <v>549</v>
      </c>
    </row>
    <row r="304" spans="1:12" ht="15" customHeight="1">
      <c r="A304" s="143" t="s">
        <v>564</v>
      </c>
      <c r="B304" s="468">
        <v>46185</v>
      </c>
      <c r="C304" s="250" t="s">
        <v>513</v>
      </c>
      <c r="D304" s="461" t="str">
        <f>IFERROR(VLOOKUP(C304,'Base de Monedas'!A:B,2,0),"")</f>
        <v>Guaraní</v>
      </c>
      <c r="E304" s="462">
        <v>448767123</v>
      </c>
      <c r="F304" s="30" t="s">
        <v>549</v>
      </c>
      <c r="G304" s="150"/>
      <c r="H304" s="468">
        <v>46185</v>
      </c>
      <c r="I304" s="469" t="s">
        <v>513</v>
      </c>
      <c r="J304" s="461" t="str">
        <f>IFERROR(VLOOKUP(I304,'Base de Monedas'!A:B,2,0),"")</f>
        <v>Guaraní</v>
      </c>
      <c r="K304" s="489">
        <v>448767123</v>
      </c>
      <c r="L304" s="250" t="s">
        <v>549</v>
      </c>
    </row>
    <row r="305" spans="1:12" ht="15" customHeight="1">
      <c r="A305" s="143" t="s">
        <v>565</v>
      </c>
      <c r="B305" s="468">
        <v>46367</v>
      </c>
      <c r="C305" s="250" t="s">
        <v>513</v>
      </c>
      <c r="D305" s="461" t="str">
        <f>IFERROR(VLOOKUP(C305,'Base de Monedas'!A:B,2,0),"")</f>
        <v>Guaraní</v>
      </c>
      <c r="E305" s="266">
        <v>448767123</v>
      </c>
      <c r="F305" s="30" t="s">
        <v>549</v>
      </c>
      <c r="G305" s="150"/>
      <c r="H305" s="468">
        <v>46367</v>
      </c>
      <c r="I305" s="469" t="s">
        <v>513</v>
      </c>
      <c r="J305" s="461" t="str">
        <f>IFERROR(VLOOKUP(I305,'Base de Monedas'!A:B,2,0),"")</f>
        <v>Guaraní</v>
      </c>
      <c r="K305" s="489">
        <v>448767123</v>
      </c>
      <c r="L305" s="250" t="s">
        <v>549</v>
      </c>
    </row>
    <row r="306" spans="1:12" ht="15" customHeight="1">
      <c r="A306" s="143" t="s">
        <v>566</v>
      </c>
      <c r="B306" s="468">
        <v>46549</v>
      </c>
      <c r="C306" s="250" t="s">
        <v>513</v>
      </c>
      <c r="D306" s="461" t="str">
        <f>IFERROR(VLOOKUP(C306,'Base de Monedas'!A:B,2,0),"")</f>
        <v>Guaraní</v>
      </c>
      <c r="E306" s="266">
        <v>448767123</v>
      </c>
      <c r="F306" s="30" t="s">
        <v>549</v>
      </c>
      <c r="G306" s="150"/>
      <c r="H306" s="468">
        <v>46549</v>
      </c>
      <c r="I306" s="469" t="s">
        <v>513</v>
      </c>
      <c r="J306" s="461" t="str">
        <f>IFERROR(VLOOKUP(I306,'Base de Monedas'!A:B,2,0),"")</f>
        <v>Guaraní</v>
      </c>
      <c r="K306" s="489">
        <v>448767123</v>
      </c>
      <c r="L306" s="250" t="s">
        <v>549</v>
      </c>
    </row>
    <row r="307" spans="1:12" ht="15" customHeight="1">
      <c r="A307" s="143" t="s">
        <v>567</v>
      </c>
      <c r="B307" s="468">
        <v>46735</v>
      </c>
      <c r="C307" s="250" t="s">
        <v>513</v>
      </c>
      <c r="D307" s="461" t="str">
        <f>IFERROR(VLOOKUP(C307,'Base de Monedas'!A:B,2,0),"")</f>
        <v>Guaraní</v>
      </c>
      <c r="E307" s="266">
        <v>458630137</v>
      </c>
      <c r="F307" s="30" t="s">
        <v>549</v>
      </c>
      <c r="G307" s="150"/>
      <c r="H307" s="468">
        <v>46735</v>
      </c>
      <c r="I307" s="469" t="s">
        <v>513</v>
      </c>
      <c r="J307" s="461" t="str">
        <f>IFERROR(VLOOKUP(I307,'Base de Monedas'!A:B,2,0),"")</f>
        <v>Guaraní</v>
      </c>
      <c r="K307" s="489">
        <v>458630137</v>
      </c>
      <c r="L307" s="250" t="s">
        <v>549</v>
      </c>
    </row>
    <row r="308" spans="1:12" s="391" customFormat="1" ht="15" customHeight="1">
      <c r="A308" s="54" t="s">
        <v>568</v>
      </c>
      <c r="B308" s="498" t="s">
        <v>535</v>
      </c>
      <c r="C308" s="500" t="s">
        <v>510</v>
      </c>
      <c r="D308" s="10" t="str">
        <f>IFERROR(VLOOKUP(C308,'Base de Monedas'!A:B,2,0),"")</f>
        <v>Dólar estadounidense</v>
      </c>
      <c r="E308" s="505">
        <v>-4210302121</v>
      </c>
      <c r="F308" s="500" t="s">
        <v>549</v>
      </c>
      <c r="G308" s="497"/>
      <c r="H308" s="501" t="s">
        <v>535</v>
      </c>
      <c r="I308" s="10" t="s">
        <v>510</v>
      </c>
      <c r="J308" s="10" t="str">
        <f>IFERROR(VLOOKUP(I308,'Base de Monedas'!A:B,2,0),"")</f>
        <v>Dólar estadounidense</v>
      </c>
      <c r="K308" s="502">
        <v>-4135946835</v>
      </c>
      <c r="L308" s="500" t="s">
        <v>549</v>
      </c>
    </row>
    <row r="309" spans="1:12" s="391" customFormat="1" ht="15" customHeight="1">
      <c r="A309" s="54" t="s">
        <v>568</v>
      </c>
      <c r="B309" s="498" t="s">
        <v>535</v>
      </c>
      <c r="C309" s="500" t="s">
        <v>513</v>
      </c>
      <c r="D309" s="10" t="str">
        <f>IFERROR(VLOOKUP(C309,'Base de Monedas'!A:B,2,0),"")</f>
        <v>Guaraní</v>
      </c>
      <c r="E309" s="505">
        <v>-3418082191</v>
      </c>
      <c r="F309" s="500" t="s">
        <v>549</v>
      </c>
      <c r="G309" s="497"/>
      <c r="H309" s="526" t="s">
        <v>535</v>
      </c>
      <c r="I309" s="10" t="s">
        <v>513</v>
      </c>
      <c r="J309" s="10" t="str">
        <f>IFERROR(VLOOKUP(I309,'Base de Monedas'!A:B,2,0),"")</f>
        <v>Guaraní</v>
      </c>
      <c r="K309" s="502">
        <v>-3418082191</v>
      </c>
      <c r="L309" s="500" t="s">
        <v>549</v>
      </c>
    </row>
    <row r="310" spans="1:12" ht="15" customHeight="1">
      <c r="A310" s="472" t="s">
        <v>544</v>
      </c>
      <c r="B310" s="460"/>
      <c r="C310" s="517"/>
      <c r="D310" s="492"/>
      <c r="E310" s="519"/>
      <c r="F310" s="492"/>
      <c r="G310" s="492"/>
      <c r="H310" s="463"/>
      <c r="I310" s="517"/>
      <c r="J310" s="492"/>
      <c r="K310" s="266"/>
    </row>
    <row r="311" spans="1:12" ht="15" customHeight="1">
      <c r="A311" s="456" t="s">
        <v>527</v>
      </c>
      <c r="B311" s="460"/>
      <c r="C311" s="517"/>
      <c r="D311" s="492"/>
      <c r="E311" s="519"/>
      <c r="F311" s="492"/>
      <c r="G311" s="492"/>
      <c r="H311" s="463"/>
      <c r="I311" s="517"/>
      <c r="J311" s="492"/>
      <c r="K311" s="266"/>
    </row>
    <row r="312" spans="1:12" ht="15" customHeight="1">
      <c r="A312" s="491" t="s">
        <v>547</v>
      </c>
      <c r="B312" s="496" t="s">
        <v>535</v>
      </c>
      <c r="C312" s="462" t="s">
        <v>535</v>
      </c>
      <c r="D312" s="461" t="str">
        <f>IFERROR(VLOOKUP(C312,'Base de Monedas'!A:B,2,0),"")</f>
        <v/>
      </c>
      <c r="E312" s="266" t="s">
        <v>535</v>
      </c>
      <c r="F312" s="30" t="s">
        <v>535</v>
      </c>
      <c r="G312" s="150"/>
      <c r="H312" s="527">
        <v>46082</v>
      </c>
      <c r="I312" s="461" t="s">
        <v>510</v>
      </c>
      <c r="J312" s="461" t="str">
        <f>IFERROR(VLOOKUP(I312,'Base de Monedas'!A:B,2,0),"")</f>
        <v>Dólar estadounidense</v>
      </c>
      <c r="K312" s="489">
        <v>266292280.97999999</v>
      </c>
      <c r="L312" s="521" t="s">
        <v>529</v>
      </c>
    </row>
    <row r="313" spans="1:12" ht="15" customHeight="1">
      <c r="A313" s="491" t="s">
        <v>547</v>
      </c>
      <c r="B313" s="496" t="s">
        <v>535</v>
      </c>
      <c r="C313" s="462" t="s">
        <v>535</v>
      </c>
      <c r="D313" s="461" t="str">
        <f>IFERROR(VLOOKUP(C313,'Base de Monedas'!A:B,2,0),"")</f>
        <v/>
      </c>
      <c r="E313" s="266" t="s">
        <v>535</v>
      </c>
      <c r="F313" s="30" t="s">
        <v>535</v>
      </c>
      <c r="G313" s="150"/>
      <c r="H313" s="527">
        <v>46083</v>
      </c>
      <c r="I313" s="461" t="s">
        <v>510</v>
      </c>
      <c r="J313" s="461" t="str">
        <f>IFERROR(VLOOKUP(I313,'Base de Monedas'!A:B,2,0),"")</f>
        <v>Dólar estadounidense</v>
      </c>
      <c r="K313" s="489">
        <v>831202081.15999997</v>
      </c>
      <c r="L313" s="521" t="s">
        <v>529</v>
      </c>
    </row>
    <row r="314" spans="1:12" ht="15" customHeight="1">
      <c r="A314" s="491" t="s">
        <v>547</v>
      </c>
      <c r="B314" s="496" t="s">
        <v>535</v>
      </c>
      <c r="C314" s="462" t="s">
        <v>535</v>
      </c>
      <c r="D314" s="461" t="str">
        <f>IFERROR(VLOOKUP(C314,'Base de Monedas'!A:B,2,0),"")</f>
        <v/>
      </c>
      <c r="E314" s="266" t="s">
        <v>535</v>
      </c>
      <c r="F314" s="30" t="s">
        <v>535</v>
      </c>
      <c r="G314" s="150"/>
      <c r="H314" s="527">
        <v>46094</v>
      </c>
      <c r="I314" s="461" t="s">
        <v>510</v>
      </c>
      <c r="J314" s="461" t="str">
        <f>IFERROR(VLOOKUP(I314,'Base de Monedas'!A:B,2,0),"")</f>
        <v>Dólar estadounidense</v>
      </c>
      <c r="K314" s="489">
        <v>105670072.31</v>
      </c>
      <c r="L314" s="521" t="s">
        <v>529</v>
      </c>
    </row>
    <row r="315" spans="1:12" ht="15" customHeight="1">
      <c r="A315" s="491" t="s">
        <v>547</v>
      </c>
      <c r="B315" s="468">
        <v>46125</v>
      </c>
      <c r="C315" s="250" t="s">
        <v>510</v>
      </c>
      <c r="D315" s="461" t="str">
        <f>IFERROR(VLOOKUP(C315,'Base de Monedas'!A:B,2,0),"")</f>
        <v>Dólar estadounidense</v>
      </c>
      <c r="E315" s="266">
        <v>135303171.36000001</v>
      </c>
      <c r="F315" s="30" t="s">
        <v>529</v>
      </c>
      <c r="G315" s="150"/>
      <c r="H315" s="527">
        <v>46125</v>
      </c>
      <c r="I315" s="461" t="s">
        <v>510</v>
      </c>
      <c r="J315" s="461" t="str">
        <f>IFERROR(VLOOKUP(I315,'Base de Monedas'!A:B,2,0),"")</f>
        <v>Dólar estadounidense</v>
      </c>
      <c r="K315" s="489">
        <v>132913673.97</v>
      </c>
      <c r="L315" s="521" t="s">
        <v>529</v>
      </c>
    </row>
    <row r="316" spans="1:12" ht="15" customHeight="1">
      <c r="A316" s="491" t="s">
        <v>547</v>
      </c>
      <c r="B316" s="468">
        <v>46130</v>
      </c>
      <c r="C316" s="250" t="s">
        <v>510</v>
      </c>
      <c r="D316" s="461" t="str">
        <f>IFERROR(VLOOKUP(C316,'Base de Monedas'!A:B,2,0),"")</f>
        <v>Dólar estadounidense</v>
      </c>
      <c r="E316" s="266">
        <v>107569789.28</v>
      </c>
      <c r="F316" s="30" t="s">
        <v>529</v>
      </c>
      <c r="G316" s="150"/>
      <c r="H316" s="527">
        <v>46130</v>
      </c>
      <c r="I316" s="461" t="s">
        <v>510</v>
      </c>
      <c r="J316" s="461" t="str">
        <f>IFERROR(VLOOKUP(I316,'Base de Monedas'!A:B,2,0),"")</f>
        <v>Dólar estadounidense</v>
      </c>
      <c r="K316" s="489">
        <v>105670072.31</v>
      </c>
      <c r="L316" s="521" t="s">
        <v>529</v>
      </c>
    </row>
    <row r="317" spans="1:12" ht="15" customHeight="1">
      <c r="A317" s="491" t="s">
        <v>547</v>
      </c>
      <c r="B317" s="468">
        <v>46262</v>
      </c>
      <c r="C317" s="250" t="s">
        <v>510</v>
      </c>
      <c r="D317" s="461" t="str">
        <f>IFERROR(VLOOKUP(C317,'Base de Monedas'!A:B,2,0),"")</f>
        <v>Dólar estadounidense</v>
      </c>
      <c r="E317" s="266">
        <v>271079474.56</v>
      </c>
      <c r="F317" s="30" t="s">
        <v>529</v>
      </c>
      <c r="G317" s="150"/>
      <c r="H317" s="527">
        <v>46262</v>
      </c>
      <c r="I317" s="461" t="s">
        <v>510</v>
      </c>
      <c r="J317" s="461" t="str">
        <f>IFERROR(VLOOKUP(I317,'Base de Monedas'!A:B,2,0),"")</f>
        <v>Dólar estadounidense</v>
      </c>
      <c r="K317" s="489">
        <v>266292124.12</v>
      </c>
      <c r="L317" s="521" t="s">
        <v>529</v>
      </c>
    </row>
    <row r="318" spans="1:12" ht="15" customHeight="1">
      <c r="A318" s="491" t="s">
        <v>547</v>
      </c>
      <c r="B318" s="468">
        <v>46263</v>
      </c>
      <c r="C318" s="250" t="s">
        <v>510</v>
      </c>
      <c r="D318" s="461" t="str">
        <f>IFERROR(VLOOKUP(C318,'Base de Monedas'!A:B,2,0),"")</f>
        <v>Dólar estadounidense</v>
      </c>
      <c r="E318" s="266">
        <v>846145437.75999999</v>
      </c>
      <c r="F318" s="30" t="s">
        <v>529</v>
      </c>
      <c r="G318" s="150"/>
      <c r="H318" s="527">
        <v>46263</v>
      </c>
      <c r="I318" s="461" t="s">
        <v>510</v>
      </c>
      <c r="J318" s="461" t="str">
        <f>IFERROR(VLOOKUP(I318,'Base de Monedas'!A:B,2,0),"")</f>
        <v>Dólar estadounidense</v>
      </c>
      <c r="K318" s="489">
        <v>831202238.01999998</v>
      </c>
      <c r="L318" s="521" t="s">
        <v>529</v>
      </c>
    </row>
    <row r="319" spans="1:12" ht="15" customHeight="1">
      <c r="A319" s="491" t="s">
        <v>547</v>
      </c>
      <c r="B319" s="468">
        <v>46294</v>
      </c>
      <c r="C319" s="250" t="s">
        <v>510</v>
      </c>
      <c r="D319" s="461" t="str">
        <f>IFERROR(VLOOKUP(C319,'Base de Monedas'!A:B,2,0),"")</f>
        <v>Dólar estadounidense</v>
      </c>
      <c r="E319" s="266">
        <v>107569709.44</v>
      </c>
      <c r="F319" s="30" t="s">
        <v>529</v>
      </c>
      <c r="G319" s="150"/>
      <c r="H319" s="527">
        <v>46294</v>
      </c>
      <c r="I319" s="461" t="s">
        <v>510</v>
      </c>
      <c r="J319" s="461" t="str">
        <f>IFERROR(VLOOKUP(I319,'Base de Monedas'!A:B,2,0),"")</f>
        <v>Dólar estadounidense</v>
      </c>
      <c r="K319" s="489">
        <v>105669993.88</v>
      </c>
      <c r="L319" s="521" t="s">
        <v>529</v>
      </c>
    </row>
    <row r="320" spans="1:12" ht="15" customHeight="1">
      <c r="A320" s="491" t="s">
        <v>547</v>
      </c>
      <c r="B320" s="468">
        <v>46305</v>
      </c>
      <c r="C320" s="250" t="s">
        <v>510</v>
      </c>
      <c r="D320" s="461" t="str">
        <f>IFERROR(VLOOKUP(C320,'Base de Monedas'!A:B,2,0),"")</f>
        <v>Dólar estadounidense</v>
      </c>
      <c r="E320" s="266">
        <v>135303410.88</v>
      </c>
      <c r="F320" s="30" t="s">
        <v>529</v>
      </c>
      <c r="G320" s="150"/>
      <c r="H320" s="527">
        <v>46305</v>
      </c>
      <c r="I320" s="461" t="s">
        <v>510</v>
      </c>
      <c r="J320" s="461" t="str">
        <f>IFERROR(VLOOKUP(I320,'Base de Monedas'!A:B,2,0),"")</f>
        <v>Dólar estadounidense</v>
      </c>
      <c r="K320" s="489">
        <v>132913909.26000001</v>
      </c>
      <c r="L320" s="521" t="s">
        <v>529</v>
      </c>
    </row>
    <row r="321" spans="1:12" ht="15" customHeight="1">
      <c r="A321" s="491" t="s">
        <v>547</v>
      </c>
      <c r="B321" s="468">
        <v>46310</v>
      </c>
      <c r="C321" s="250" t="s">
        <v>510</v>
      </c>
      <c r="D321" s="461" t="str">
        <f>IFERROR(VLOOKUP(C321,'Base de Monedas'!A:B,2,0),"")</f>
        <v>Dólar estadounidense</v>
      </c>
      <c r="E321" s="266">
        <v>107569709.44</v>
      </c>
      <c r="F321" s="30" t="s">
        <v>529</v>
      </c>
      <c r="G321" s="150"/>
      <c r="H321" s="527">
        <v>46310</v>
      </c>
      <c r="I321" s="461" t="s">
        <v>510</v>
      </c>
      <c r="J321" s="461" t="str">
        <f>IFERROR(VLOOKUP(I321,'Base de Monedas'!A:B,2,0),"")</f>
        <v>Dólar estadounidense</v>
      </c>
      <c r="K321" s="489">
        <v>105669993.88</v>
      </c>
      <c r="L321" s="521" t="s">
        <v>529</v>
      </c>
    </row>
    <row r="322" spans="1:12" ht="15" customHeight="1">
      <c r="A322" s="143" t="s">
        <v>545</v>
      </c>
      <c r="B322" s="496" t="s">
        <v>535</v>
      </c>
      <c r="C322" s="462" t="s">
        <v>535</v>
      </c>
      <c r="D322" s="461" t="str">
        <f>IFERROR(VLOOKUP(C322,'Base de Monedas'!A:B,2,0),"")</f>
        <v/>
      </c>
      <c r="E322" s="462" t="s">
        <v>535</v>
      </c>
      <c r="F322" s="250" t="s">
        <v>535</v>
      </c>
      <c r="G322" s="150"/>
      <c r="H322" s="528">
        <v>46027</v>
      </c>
      <c r="I322" s="469" t="s">
        <v>510</v>
      </c>
      <c r="J322" s="461" t="str">
        <f>IFERROR(VLOOKUP(I322,'Base de Monedas'!A:B,2,0),"")</f>
        <v>Dólar estadounidense</v>
      </c>
      <c r="K322" s="489">
        <v>319663268.54000002</v>
      </c>
      <c r="L322" s="521" t="s">
        <v>549</v>
      </c>
    </row>
    <row r="323" spans="1:12" ht="15" customHeight="1">
      <c r="A323" s="143" t="s">
        <v>545</v>
      </c>
      <c r="B323" s="496" t="s">
        <v>535</v>
      </c>
      <c r="C323" s="462" t="s">
        <v>535</v>
      </c>
      <c r="D323" s="461" t="str">
        <f>IFERROR(VLOOKUP(C323,'Base de Monedas'!A:B,2,0),"")</f>
        <v/>
      </c>
      <c r="E323" s="462" t="s">
        <v>535</v>
      </c>
      <c r="F323" s="250" t="s">
        <v>535</v>
      </c>
      <c r="G323" s="150"/>
      <c r="H323" s="468">
        <v>46058</v>
      </c>
      <c r="I323" s="469" t="s">
        <v>510</v>
      </c>
      <c r="J323" s="461" t="str">
        <f>IFERROR(VLOOKUP(I323,'Base de Monedas'!A:B,2,0),"")</f>
        <v>Dólar estadounidense</v>
      </c>
      <c r="K323" s="489">
        <v>321797427.26999998</v>
      </c>
      <c r="L323" s="521" t="s">
        <v>549</v>
      </c>
    </row>
    <row r="324" spans="1:12" ht="15" customHeight="1">
      <c r="A324" s="143" t="s">
        <v>545</v>
      </c>
      <c r="B324" s="496" t="s">
        <v>535</v>
      </c>
      <c r="C324" s="462" t="s">
        <v>535</v>
      </c>
      <c r="D324" s="461" t="str">
        <f>IFERROR(VLOOKUP(C324,'Base de Monedas'!A:B,2,0),"")</f>
        <v/>
      </c>
      <c r="E324" s="462" t="s">
        <v>535</v>
      </c>
      <c r="F324" s="250" t="s">
        <v>535</v>
      </c>
      <c r="G324" s="150"/>
      <c r="H324" s="468">
        <v>46086</v>
      </c>
      <c r="I324" s="469" t="s">
        <v>510</v>
      </c>
      <c r="J324" s="461" t="str">
        <f>IFERROR(VLOOKUP(I324,'Base de Monedas'!A:B,2,0),"")</f>
        <v>Dólar estadounidense</v>
      </c>
      <c r="K324" s="489">
        <v>323946017.12</v>
      </c>
      <c r="L324" s="521" t="s">
        <v>549</v>
      </c>
    </row>
    <row r="325" spans="1:12" ht="15" customHeight="1">
      <c r="A325" s="143" t="s">
        <v>545</v>
      </c>
      <c r="B325" s="468">
        <v>46117</v>
      </c>
      <c r="C325" s="250" t="s">
        <v>510</v>
      </c>
      <c r="D325" s="461" t="str">
        <f>IFERROR(VLOOKUP(C325,'Base de Monedas'!A:B,2,0),"")</f>
        <v>Dólar estadounidense</v>
      </c>
      <c r="E325" s="266">
        <v>331971606.24000001</v>
      </c>
      <c r="F325" s="250" t="s">
        <v>549</v>
      </c>
      <c r="G325" s="150"/>
      <c r="H325" s="468">
        <v>46117</v>
      </c>
      <c r="I325" s="462" t="s">
        <v>510</v>
      </c>
      <c r="J325" s="461" t="str">
        <f>IFERROR(VLOOKUP(I325,'Base de Monedas'!A:B,2,0),"")</f>
        <v>Dólar estadounidense</v>
      </c>
      <c r="K325" s="489">
        <v>326108881.23000002</v>
      </c>
      <c r="L325" s="521" t="s">
        <v>549</v>
      </c>
    </row>
    <row r="326" spans="1:12" ht="15" customHeight="1">
      <c r="A326" s="143" t="s">
        <v>545</v>
      </c>
      <c r="B326" s="468">
        <v>46147</v>
      </c>
      <c r="C326" s="250" t="s">
        <v>510</v>
      </c>
      <c r="D326" s="461" t="str">
        <f>IFERROR(VLOOKUP(C326,'Base de Monedas'!A:B,2,0),"")</f>
        <v>Dólar estadounidense</v>
      </c>
      <c r="E326" s="266">
        <v>334188204.16000003</v>
      </c>
      <c r="F326" s="250" t="s">
        <v>549</v>
      </c>
      <c r="G326" s="150"/>
      <c r="H326" s="468">
        <v>46147</v>
      </c>
      <c r="I326" s="462" t="s">
        <v>510</v>
      </c>
      <c r="J326" s="461" t="str">
        <f>IFERROR(VLOOKUP(I326,'Base de Monedas'!A:B,2,0),"")</f>
        <v>Dólar estadounidense</v>
      </c>
      <c r="K326" s="489">
        <v>328286333.31999999</v>
      </c>
      <c r="L326" s="521" t="s">
        <v>549</v>
      </c>
    </row>
    <row r="327" spans="1:12" ht="15" customHeight="1">
      <c r="A327" s="143" t="s">
        <v>545</v>
      </c>
      <c r="B327" s="468">
        <v>46178</v>
      </c>
      <c r="C327" s="250" t="s">
        <v>510</v>
      </c>
      <c r="D327" s="461" t="str">
        <f>IFERROR(VLOOKUP(C327,'Base de Monedas'!A:B,2,0),"")</f>
        <v>Dólar estadounidense</v>
      </c>
      <c r="E327" s="266">
        <v>336419492.63999999</v>
      </c>
      <c r="F327" s="250" t="s">
        <v>549</v>
      </c>
      <c r="G327" s="150"/>
      <c r="H327" s="468">
        <v>46178</v>
      </c>
      <c r="I327" s="462" t="s">
        <v>510</v>
      </c>
      <c r="J327" s="461" t="str">
        <f>IFERROR(VLOOKUP(I327,'Base de Monedas'!A:B,2,0),"")</f>
        <v>Dólar estadounidense</v>
      </c>
      <c r="K327" s="489">
        <v>330478216.52999997</v>
      </c>
      <c r="L327" s="521" t="s">
        <v>549</v>
      </c>
    </row>
    <row r="328" spans="1:12" ht="15" customHeight="1">
      <c r="A328" s="143" t="s">
        <v>545</v>
      </c>
      <c r="B328" s="468">
        <v>46208</v>
      </c>
      <c r="C328" s="250" t="s">
        <v>510</v>
      </c>
      <c r="D328" s="461" t="str">
        <f>IFERROR(VLOOKUP(C328,'Base de Monedas'!A:B,2,0),"")</f>
        <v>Dólar estadounidense</v>
      </c>
      <c r="E328" s="266">
        <v>338665791.04000002</v>
      </c>
      <c r="F328" s="250" t="s">
        <v>549</v>
      </c>
      <c r="G328" s="150"/>
      <c r="H328" s="468">
        <v>46208</v>
      </c>
      <c r="I328" s="462" t="s">
        <v>510</v>
      </c>
      <c r="J328" s="461" t="str">
        <f>IFERROR(VLOOKUP(I328,'Base de Monedas'!A:B,2,0),"")</f>
        <v>Dólar estadounidense</v>
      </c>
      <c r="K328" s="489">
        <v>332684844.57999998</v>
      </c>
      <c r="L328" s="521" t="s">
        <v>549</v>
      </c>
    </row>
    <row r="329" spans="1:12" ht="15" customHeight="1">
      <c r="A329" s="143" t="s">
        <v>545</v>
      </c>
      <c r="B329" s="468">
        <v>46239</v>
      </c>
      <c r="C329" s="250" t="s">
        <v>510</v>
      </c>
      <c r="D329" s="461" t="str">
        <f>IFERROR(VLOOKUP(C329,'Base de Monedas'!A:B,2,0),"")</f>
        <v>Dólar estadounidense</v>
      </c>
      <c r="E329" s="266">
        <v>340926780</v>
      </c>
      <c r="F329" s="250" t="s">
        <v>549</v>
      </c>
      <c r="G329" s="150"/>
      <c r="H329" s="468">
        <v>46239</v>
      </c>
      <c r="I329" s="462" t="s">
        <v>510</v>
      </c>
      <c r="J329" s="461" t="str">
        <f>IFERROR(VLOOKUP(I329,'Base de Monedas'!A:B,2,0),"")</f>
        <v>Dólar estadounidense</v>
      </c>
      <c r="K329" s="489">
        <v>334905903.75</v>
      </c>
      <c r="L329" s="521" t="s">
        <v>549</v>
      </c>
    </row>
    <row r="330" spans="1:12" ht="15" customHeight="1">
      <c r="A330" s="143" t="s">
        <v>545</v>
      </c>
      <c r="B330" s="468">
        <v>46270</v>
      </c>
      <c r="C330" s="250" t="s">
        <v>510</v>
      </c>
      <c r="D330" s="461" t="str">
        <f>IFERROR(VLOOKUP(C330,'Base de Monedas'!A:B,2,0),"")</f>
        <v>Dólar estadounidense</v>
      </c>
      <c r="E330" s="266">
        <v>343203257.92000002</v>
      </c>
      <c r="F330" s="250" t="s">
        <v>549</v>
      </c>
      <c r="G330" s="150"/>
      <c r="H330" s="468">
        <v>46270</v>
      </c>
      <c r="I330" s="462" t="s">
        <v>510</v>
      </c>
      <c r="J330" s="461" t="str">
        <f>IFERROR(VLOOKUP(I330,'Base de Monedas'!A:B,2,0),"")</f>
        <v>Dólar estadounidense</v>
      </c>
      <c r="K330" s="489">
        <v>337142178.33999997</v>
      </c>
      <c r="L330" s="521" t="s">
        <v>549</v>
      </c>
    </row>
    <row r="331" spans="1:12" ht="15" customHeight="1">
      <c r="A331" s="143" t="s">
        <v>545</v>
      </c>
      <c r="B331" s="468">
        <v>46300</v>
      </c>
      <c r="C331" s="250" t="s">
        <v>510</v>
      </c>
      <c r="D331" s="461" t="str">
        <f>IFERROR(VLOOKUP(C331,'Base de Monedas'!A:B,2,0),"")</f>
        <v>Dólar estadounidense</v>
      </c>
      <c r="E331" s="266">
        <v>345494745.75999999</v>
      </c>
      <c r="F331" s="250" t="s">
        <v>549</v>
      </c>
      <c r="G331" s="150"/>
      <c r="H331" s="468">
        <v>46300</v>
      </c>
      <c r="I331" s="462" t="s">
        <v>510</v>
      </c>
      <c r="J331" s="461" t="str">
        <f>IFERROR(VLOOKUP(I331,'Base de Monedas'!A:B,2,0),"")</f>
        <v>Dólar estadounidense</v>
      </c>
      <c r="K331" s="489">
        <v>339393197.76999998</v>
      </c>
      <c r="L331" s="521" t="s">
        <v>549</v>
      </c>
    </row>
    <row r="332" spans="1:12" ht="15" customHeight="1">
      <c r="A332" s="143" t="s">
        <v>545</v>
      </c>
      <c r="B332" s="468">
        <v>46331</v>
      </c>
      <c r="C332" s="250" t="s">
        <v>510</v>
      </c>
      <c r="D332" s="461" t="str">
        <f>IFERROR(VLOOKUP(C332,'Base de Monedas'!A:B,2,0),"")</f>
        <v>Dólar estadounidense</v>
      </c>
      <c r="E332" s="266">
        <v>347801403.19999999</v>
      </c>
      <c r="F332" s="250" t="s">
        <v>549</v>
      </c>
      <c r="G332" s="150"/>
      <c r="H332" s="468">
        <v>46331</v>
      </c>
      <c r="I332" s="462" t="s">
        <v>510</v>
      </c>
      <c r="J332" s="461" t="str">
        <f>IFERROR(VLOOKUP(I332,'Base de Monedas'!A:B,2,0),"")</f>
        <v>Dólar estadounidense</v>
      </c>
      <c r="K332" s="489">
        <v>341659118.89999998</v>
      </c>
      <c r="L332" s="521" t="s">
        <v>549</v>
      </c>
    </row>
    <row r="333" spans="1:12" ht="15" customHeight="1">
      <c r="A333" s="143" t="s">
        <v>545</v>
      </c>
      <c r="B333" s="468">
        <v>46361</v>
      </c>
      <c r="C333" s="250" t="s">
        <v>510</v>
      </c>
      <c r="D333" s="461" t="str">
        <f>IFERROR(VLOOKUP(C333,'Base de Monedas'!A:B,2,0),"")</f>
        <v>Dólar estadounidense</v>
      </c>
      <c r="E333" s="266">
        <v>350123629.44</v>
      </c>
      <c r="F333" s="250" t="s">
        <v>549</v>
      </c>
      <c r="G333" s="150"/>
      <c r="H333" s="468">
        <v>46361</v>
      </c>
      <c r="I333" s="462" t="s">
        <v>510</v>
      </c>
      <c r="J333" s="461" t="str">
        <f>IFERROR(VLOOKUP(I333,'Base de Monedas'!A:B,2,0),"")</f>
        <v>Dólar estadounidense</v>
      </c>
      <c r="K333" s="489">
        <v>343940333.88</v>
      </c>
      <c r="L333" s="521" t="s">
        <v>549</v>
      </c>
    </row>
    <row r="334" spans="1:12" ht="15" customHeight="1">
      <c r="A334" s="143" t="s">
        <v>545</v>
      </c>
      <c r="B334" s="468">
        <v>46392</v>
      </c>
      <c r="C334" s="250" t="s">
        <v>510</v>
      </c>
      <c r="D334" s="461" t="str">
        <f>IFERROR(VLOOKUP(C334,'Base de Monedas'!A:B,2,0),"")</f>
        <v>Dólar estadounidense</v>
      </c>
      <c r="E334" s="266">
        <v>352461424.48000002</v>
      </c>
      <c r="F334" s="250" t="s">
        <v>549</v>
      </c>
      <c r="G334" s="150"/>
      <c r="H334" s="468">
        <v>46392</v>
      </c>
      <c r="I334" s="462" t="s">
        <v>510</v>
      </c>
      <c r="J334" s="461" t="str">
        <f>IFERROR(VLOOKUP(I334,'Base de Monedas'!A:B,2,0),"")</f>
        <v>Dólar estadounidense</v>
      </c>
      <c r="K334" s="489">
        <v>346236842.70999998</v>
      </c>
      <c r="L334" s="521" t="s">
        <v>549</v>
      </c>
    </row>
    <row r="335" spans="1:12" ht="15" customHeight="1">
      <c r="A335" s="143" t="s">
        <v>545</v>
      </c>
      <c r="B335" s="468">
        <v>46423</v>
      </c>
      <c r="C335" s="250" t="s">
        <v>510</v>
      </c>
      <c r="D335" s="461" t="str">
        <f>IFERROR(VLOOKUP(C335,'Base de Monedas'!A:B,2,0),"")</f>
        <v>Dólar estadounidense</v>
      </c>
      <c r="E335" s="266">
        <v>354814628.63999999</v>
      </c>
      <c r="F335" s="250" t="s">
        <v>549</v>
      </c>
      <c r="G335" s="150"/>
      <c r="H335" s="468">
        <v>46423</v>
      </c>
      <c r="I335" s="462" t="s">
        <v>510</v>
      </c>
      <c r="J335" s="461" t="str">
        <f>IFERROR(VLOOKUP(I335,'Base de Monedas'!A:B,2,0),"")</f>
        <v>Dólar estadounidense</v>
      </c>
      <c r="K335" s="489">
        <v>348548488.52999997</v>
      </c>
      <c r="L335" s="521" t="s">
        <v>549</v>
      </c>
    </row>
    <row r="336" spans="1:12" ht="15" customHeight="1">
      <c r="A336" s="143" t="s">
        <v>545</v>
      </c>
      <c r="B336" s="468">
        <v>46451</v>
      </c>
      <c r="C336" s="250" t="s">
        <v>510</v>
      </c>
      <c r="D336" s="461" t="str">
        <f>IFERROR(VLOOKUP(C336,'Base de Monedas'!A:B,2,0),"")</f>
        <v>Dólar estadounidense</v>
      </c>
      <c r="E336" s="266">
        <v>357183720.95999998</v>
      </c>
      <c r="F336" s="250" t="s">
        <v>549</v>
      </c>
      <c r="G336" s="150"/>
      <c r="H336" s="468">
        <v>46451</v>
      </c>
      <c r="I336" s="462" t="s">
        <v>510</v>
      </c>
      <c r="J336" s="461" t="str">
        <f>IFERROR(VLOOKUP(I336,'Base de Monedas'!A:B,2,0),"")</f>
        <v>Dólar estadounidense</v>
      </c>
      <c r="K336" s="489">
        <v>350875741.92000002</v>
      </c>
      <c r="L336" s="521" t="s">
        <v>549</v>
      </c>
    </row>
    <row r="337" spans="1:12" ht="15" customHeight="1">
      <c r="A337" s="143" t="s">
        <v>545</v>
      </c>
      <c r="B337" s="468">
        <v>46482</v>
      </c>
      <c r="C337" s="250" t="s">
        <v>510</v>
      </c>
      <c r="D337" s="461" t="str">
        <f>IFERROR(VLOOKUP(C337,'Base de Monedas'!A:B,2,0),"")</f>
        <v>Dólar estadounidense</v>
      </c>
      <c r="E337" s="266">
        <v>359568701.44</v>
      </c>
      <c r="F337" s="250" t="s">
        <v>549</v>
      </c>
      <c r="G337" s="150"/>
      <c r="H337" s="468">
        <v>46482</v>
      </c>
      <c r="I337" s="462" t="s">
        <v>510</v>
      </c>
      <c r="J337" s="461" t="str">
        <f>IFERROR(VLOOKUP(I337,'Base de Monedas'!A:B,2,0),"")</f>
        <v>Dólar estadounidense</v>
      </c>
      <c r="K337" s="489">
        <v>353218602.88</v>
      </c>
      <c r="L337" s="521" t="s">
        <v>549</v>
      </c>
    </row>
    <row r="338" spans="1:12" ht="15" customHeight="1">
      <c r="A338" s="143" t="s">
        <v>545</v>
      </c>
      <c r="B338" s="468">
        <v>46512</v>
      </c>
      <c r="C338" s="250" t="s">
        <v>510</v>
      </c>
      <c r="D338" s="461" t="str">
        <f>IFERROR(VLOOKUP(C338,'Base de Monedas'!A:B,2,0),"")</f>
        <v>Dólar estadounidense</v>
      </c>
      <c r="E338" s="266">
        <v>361969410.39999998</v>
      </c>
      <c r="F338" s="250" t="s">
        <v>549</v>
      </c>
      <c r="G338" s="150"/>
      <c r="H338" s="468">
        <v>46512</v>
      </c>
      <c r="I338" s="462" t="s">
        <v>510</v>
      </c>
      <c r="J338" s="461" t="str">
        <f>IFERROR(VLOOKUP(I338,'Base de Monedas'!A:B,2,0),"")</f>
        <v>Dólar estadounidense</v>
      </c>
      <c r="K338" s="489">
        <v>355576914.55000001</v>
      </c>
      <c r="L338" s="521" t="s">
        <v>549</v>
      </c>
    </row>
    <row r="339" spans="1:12" ht="15" customHeight="1">
      <c r="A339" s="143" t="s">
        <v>545</v>
      </c>
      <c r="B339" s="468">
        <v>46543</v>
      </c>
      <c r="C339" s="250" t="s">
        <v>510</v>
      </c>
      <c r="D339" s="461" t="str">
        <f>IFERROR(VLOOKUP(C339,'Base de Monedas'!A:B,2,0),"")</f>
        <v>Dólar estadounidense</v>
      </c>
      <c r="E339" s="266">
        <v>364386087.36000001</v>
      </c>
      <c r="F339" s="250" t="s">
        <v>549</v>
      </c>
      <c r="G339" s="150"/>
      <c r="H339" s="468">
        <v>46543</v>
      </c>
      <c r="I339" s="462" t="s">
        <v>510</v>
      </c>
      <c r="J339" s="461" t="str">
        <f>IFERROR(VLOOKUP(I339,'Base de Monedas'!A:B,2,0),"")</f>
        <v>Dólar estadounidense</v>
      </c>
      <c r="K339" s="489">
        <v>357950912.22000003</v>
      </c>
      <c r="L339" s="521" t="s">
        <v>549</v>
      </c>
    </row>
    <row r="340" spans="1:12" ht="15" customHeight="1">
      <c r="A340" s="143" t="s">
        <v>545</v>
      </c>
      <c r="B340" s="468">
        <v>46573</v>
      </c>
      <c r="C340" s="250" t="s">
        <v>510</v>
      </c>
      <c r="D340" s="461" t="str">
        <f>IFERROR(VLOOKUP(C340,'Base de Monedas'!A:B,2,0),"")</f>
        <v>Dólar estadounidense</v>
      </c>
      <c r="E340" s="266">
        <v>366819131.51999998</v>
      </c>
      <c r="F340" s="250" t="s">
        <v>549</v>
      </c>
      <c r="G340" s="150"/>
      <c r="H340" s="468">
        <v>46573</v>
      </c>
      <c r="I340" s="462" t="s">
        <v>510</v>
      </c>
      <c r="J340" s="461" t="str">
        <f>IFERROR(VLOOKUP(I340,'Base de Monedas'!A:B,2,0),"")</f>
        <v>Dólar estadounidense</v>
      </c>
      <c r="K340" s="489">
        <v>360340988.04000002</v>
      </c>
      <c r="L340" s="521" t="s">
        <v>549</v>
      </c>
    </row>
    <row r="341" spans="1:12" ht="15" customHeight="1">
      <c r="A341" s="143" t="s">
        <v>545</v>
      </c>
      <c r="B341" s="468">
        <v>46604</v>
      </c>
      <c r="C341" s="250" t="s">
        <v>510</v>
      </c>
      <c r="D341" s="461" t="str">
        <f>IFERROR(VLOOKUP(C341,'Base de Monedas'!A:B,2,0),"")</f>
        <v>Dólar estadounidense</v>
      </c>
      <c r="E341" s="266">
        <v>369268063.83999997</v>
      </c>
      <c r="F341" s="250" t="s">
        <v>549</v>
      </c>
      <c r="G341" s="150"/>
      <c r="H341" s="468">
        <v>46604</v>
      </c>
      <c r="I341" s="462" t="s">
        <v>510</v>
      </c>
      <c r="J341" s="461" t="str">
        <f>IFERROR(VLOOKUP(I341,'Base de Monedas'!A:B,2,0),"")</f>
        <v>Dólar estadounidense</v>
      </c>
      <c r="K341" s="489">
        <v>362746671.43000001</v>
      </c>
      <c r="L341" s="521" t="s">
        <v>549</v>
      </c>
    </row>
    <row r="342" spans="1:12" ht="15" customHeight="1">
      <c r="A342" s="143" t="s">
        <v>545</v>
      </c>
      <c r="B342" s="468">
        <v>46639</v>
      </c>
      <c r="C342" s="250" t="s">
        <v>510</v>
      </c>
      <c r="D342" s="461" t="str">
        <f>IFERROR(VLOOKUP(C342,'Base de Monedas'!A:B,2,0),"")</f>
        <v>Dólar estadounidense</v>
      </c>
      <c r="E342" s="266">
        <v>371733044</v>
      </c>
      <c r="F342" s="250" t="s">
        <v>549</v>
      </c>
      <c r="G342" s="150"/>
      <c r="H342" s="468">
        <v>46639</v>
      </c>
      <c r="I342" s="462" t="s">
        <v>510</v>
      </c>
      <c r="J342" s="461" t="str">
        <f>IFERROR(VLOOKUP(I342,'Base de Monedas'!A:B,2,0),"")</f>
        <v>Dólar estadounidense</v>
      </c>
      <c r="K342" s="489">
        <v>365168119.25</v>
      </c>
      <c r="L342" s="521" t="s">
        <v>549</v>
      </c>
    </row>
    <row r="343" spans="1:12" ht="15" customHeight="1">
      <c r="A343" s="143" t="s">
        <v>545</v>
      </c>
      <c r="B343" s="468">
        <v>46665</v>
      </c>
      <c r="C343" s="250" t="s">
        <v>510</v>
      </c>
      <c r="D343" s="461" t="str">
        <f>IFERROR(VLOOKUP(C343,'Base de Monedas'!A:B,2,0),"")</f>
        <v>Dólar estadounidense</v>
      </c>
      <c r="E343" s="266">
        <v>166479094.56</v>
      </c>
      <c r="F343" s="250" t="s">
        <v>549</v>
      </c>
      <c r="G343" s="150"/>
      <c r="H343" s="468">
        <v>46665</v>
      </c>
      <c r="I343" s="462" t="s">
        <v>510</v>
      </c>
      <c r="J343" s="461" t="str">
        <f>IFERROR(VLOOKUP(I343,'Base de Monedas'!A:B,2,0),"")</f>
        <v>Dólar estadounidense</v>
      </c>
      <c r="K343" s="489">
        <v>163539020.37</v>
      </c>
      <c r="L343" s="521" t="s">
        <v>549</v>
      </c>
    </row>
    <row r="344" spans="1:12" ht="15" customHeight="1">
      <c r="A344" s="456" t="s">
        <v>569</v>
      </c>
      <c r="B344" s="460"/>
      <c r="C344" s="517"/>
      <c r="D344" s="492"/>
      <c r="E344" s="519"/>
      <c r="F344" s="492"/>
      <c r="G344" s="492"/>
      <c r="H344" s="478"/>
      <c r="I344" s="250"/>
      <c r="J344" s="461"/>
      <c r="K344" s="266"/>
    </row>
    <row r="345" spans="1:12" ht="15" customHeight="1">
      <c r="A345" s="491" t="s">
        <v>547</v>
      </c>
      <c r="B345" s="496" t="s">
        <v>535</v>
      </c>
      <c r="C345" s="462" t="s">
        <v>535</v>
      </c>
      <c r="D345" s="461" t="str">
        <f>IFERROR(VLOOKUP(C345,'Base de Monedas'!A:B,2,0),"")</f>
        <v/>
      </c>
      <c r="E345" s="266" t="s">
        <v>535</v>
      </c>
      <c r="F345" s="30" t="s">
        <v>535</v>
      </c>
      <c r="G345" s="150"/>
      <c r="H345" s="470">
        <v>46082</v>
      </c>
      <c r="I345" s="461" t="s">
        <v>510</v>
      </c>
      <c r="J345" s="461" t="str">
        <f>IFERROR(VLOOKUP(I345,'Base de Monedas'!A:B,2,0),"")</f>
        <v>Dólar estadounidense</v>
      </c>
      <c r="K345" s="489">
        <v>4037811.69</v>
      </c>
      <c r="L345" s="521" t="s">
        <v>529</v>
      </c>
    </row>
    <row r="346" spans="1:12" ht="15" customHeight="1">
      <c r="A346" s="491" t="s">
        <v>547</v>
      </c>
      <c r="B346" s="496" t="s">
        <v>535</v>
      </c>
      <c r="C346" s="462" t="s">
        <v>535</v>
      </c>
      <c r="D346" s="30" t="str">
        <f>IFERROR(VLOOKUP(C346,'Base de Monedas'!A:B,2,0),"")</f>
        <v/>
      </c>
      <c r="E346" s="266" t="s">
        <v>535</v>
      </c>
      <c r="F346" s="30" t="s">
        <v>535</v>
      </c>
      <c r="G346" s="150"/>
      <c r="H346" s="487">
        <v>46082</v>
      </c>
      <c r="I346" s="461" t="s">
        <v>510</v>
      </c>
      <c r="J346" s="461" t="str">
        <f>IFERROR(VLOOKUP(I346,'Base de Monedas'!A:B,2,0),"")</f>
        <v>Dólar estadounidense</v>
      </c>
      <c r="K346" s="489">
        <v>9192545.0099999998</v>
      </c>
      <c r="L346" s="30" t="s">
        <v>529</v>
      </c>
    </row>
    <row r="347" spans="1:12" ht="15" customHeight="1">
      <c r="A347" s="491" t="s">
        <v>547</v>
      </c>
      <c r="B347" s="496" t="s">
        <v>535</v>
      </c>
      <c r="C347" s="462" t="s">
        <v>535</v>
      </c>
      <c r="D347" s="30" t="str">
        <f>IFERROR(VLOOKUP(C347,'Base de Monedas'!A:B,2,0),"")</f>
        <v/>
      </c>
      <c r="E347" s="266" t="s">
        <v>535</v>
      </c>
      <c r="F347" s="30" t="s">
        <v>535</v>
      </c>
      <c r="G347" s="150"/>
      <c r="H347" s="487">
        <v>46083</v>
      </c>
      <c r="I347" s="461" t="s">
        <v>510</v>
      </c>
      <c r="J347" s="461" t="str">
        <f>IFERROR(VLOOKUP(I347,'Base de Monedas'!A:B,2,0),"")</f>
        <v>Dólar estadounidense</v>
      </c>
      <c r="K347" s="489">
        <v>12535388.470000001</v>
      </c>
      <c r="L347" s="30" t="s">
        <v>529</v>
      </c>
    </row>
    <row r="348" spans="1:12" ht="15" customHeight="1">
      <c r="A348" s="491" t="s">
        <v>547</v>
      </c>
      <c r="B348" s="496" t="s">
        <v>535</v>
      </c>
      <c r="C348" s="462" t="s">
        <v>535</v>
      </c>
      <c r="D348" s="461" t="str">
        <f>IFERROR(VLOOKUP(C348,'Base de Monedas'!A:B,2,0),"")</f>
        <v/>
      </c>
      <c r="E348" s="266" t="s">
        <v>535</v>
      </c>
      <c r="F348" s="30" t="s">
        <v>535</v>
      </c>
      <c r="G348" s="150"/>
      <c r="H348" s="470">
        <v>46083</v>
      </c>
      <c r="I348" s="461" t="s">
        <v>510</v>
      </c>
      <c r="J348" s="461" t="str">
        <f>IFERROR(VLOOKUP(I348,'Base de Monedas'!A:B,2,0),"")</f>
        <v>Dólar estadounidense</v>
      </c>
      <c r="K348" s="489">
        <v>28693537.07</v>
      </c>
      <c r="L348" s="521" t="s">
        <v>529</v>
      </c>
    </row>
    <row r="349" spans="1:12" ht="15" customHeight="1">
      <c r="A349" s="491" t="s">
        <v>547</v>
      </c>
      <c r="B349" s="496" t="s">
        <v>535</v>
      </c>
      <c r="C349" s="462" t="s">
        <v>535</v>
      </c>
      <c r="D349" s="461" t="str">
        <f>IFERROR(VLOOKUP(C349,'Base de Monedas'!A:B,2,0),"")</f>
        <v/>
      </c>
      <c r="E349" s="266" t="s">
        <v>535</v>
      </c>
      <c r="F349" s="30" t="s">
        <v>535</v>
      </c>
      <c r="G349" s="150"/>
      <c r="H349" s="470">
        <v>46094</v>
      </c>
      <c r="I349" s="461" t="s">
        <v>510</v>
      </c>
      <c r="J349" s="461" t="str">
        <f>IFERROR(VLOOKUP(I349,'Base de Monedas'!A:B,2,0),"")</f>
        <v>Dólar estadounidense</v>
      </c>
      <c r="K349" s="489">
        <v>1593619.17</v>
      </c>
      <c r="L349" s="521" t="s">
        <v>529</v>
      </c>
    </row>
    <row r="350" spans="1:12" ht="15" customHeight="1">
      <c r="A350" s="491" t="s">
        <v>547</v>
      </c>
      <c r="B350" s="496" t="s">
        <v>535</v>
      </c>
      <c r="C350" s="462" t="s">
        <v>535</v>
      </c>
      <c r="D350" s="461" t="str">
        <f>IFERROR(VLOOKUP(C350,'Base de Monedas'!A:B,2,0),"")</f>
        <v/>
      </c>
      <c r="E350" s="266" t="s">
        <v>535</v>
      </c>
      <c r="F350" s="30" t="s">
        <v>535</v>
      </c>
      <c r="G350" s="150"/>
      <c r="H350" s="470">
        <v>46094</v>
      </c>
      <c r="I350" s="461" t="s">
        <v>510</v>
      </c>
      <c r="J350" s="461" t="str">
        <f>IFERROR(VLOOKUP(I350,'Base de Monedas'!A:B,2,0),"")</f>
        <v>Dólar estadounidense</v>
      </c>
      <c r="K350" s="489">
        <v>3647779.3</v>
      </c>
      <c r="L350" s="521" t="s">
        <v>529</v>
      </c>
    </row>
    <row r="351" spans="1:12" ht="15" customHeight="1">
      <c r="A351" s="491" t="s">
        <v>547</v>
      </c>
      <c r="B351" s="468">
        <v>46125</v>
      </c>
      <c r="C351" s="250" t="s">
        <v>510</v>
      </c>
      <c r="D351" s="461" t="str">
        <f>IFERROR(VLOOKUP(C351,'Base de Monedas'!A:B,2,0),"")</f>
        <v>Dólar estadounidense</v>
      </c>
      <c r="E351" s="266">
        <v>2051568.6399999999</v>
      </c>
      <c r="F351" s="30" t="s">
        <v>529</v>
      </c>
      <c r="G351" s="150"/>
      <c r="H351" s="470">
        <v>46125</v>
      </c>
      <c r="I351" s="461" t="s">
        <v>510</v>
      </c>
      <c r="J351" s="461" t="str">
        <f>IFERROR(VLOOKUP(I351,'Base de Monedas'!A:B,2,0),"")</f>
        <v>Dólar estadounidense</v>
      </c>
      <c r="K351" s="489">
        <v>2015337.28</v>
      </c>
      <c r="L351" s="521" t="s">
        <v>529</v>
      </c>
    </row>
    <row r="352" spans="1:12" ht="15" customHeight="1">
      <c r="A352" s="491" t="s">
        <v>547</v>
      </c>
      <c r="B352" s="468">
        <v>46125</v>
      </c>
      <c r="C352" s="250" t="s">
        <v>510</v>
      </c>
      <c r="D352" s="461" t="str">
        <f>IFERROR(VLOOKUP(C352,'Base de Monedas'!A:B,2,0),"")</f>
        <v>Dólar estadounidense</v>
      </c>
      <c r="E352" s="266">
        <v>4670719.84</v>
      </c>
      <c r="F352" s="30" t="s">
        <v>529</v>
      </c>
      <c r="G352" s="150"/>
      <c r="H352" s="470">
        <v>46125</v>
      </c>
      <c r="I352" s="461" t="s">
        <v>510</v>
      </c>
      <c r="J352" s="461" t="str">
        <f>IFERROR(VLOOKUP(I352,'Base de Monedas'!A:B,2,0),"")</f>
        <v>Dólar estadounidense</v>
      </c>
      <c r="K352" s="489">
        <v>4588233.43</v>
      </c>
      <c r="L352" s="521" t="s">
        <v>529</v>
      </c>
    </row>
    <row r="353" spans="1:12" ht="15" customHeight="1">
      <c r="A353" s="491" t="s">
        <v>547</v>
      </c>
      <c r="B353" s="468">
        <v>46130</v>
      </c>
      <c r="C353" s="250" t="s">
        <v>510</v>
      </c>
      <c r="D353" s="461" t="str">
        <f>IFERROR(VLOOKUP(C353,'Base de Monedas'!A:B,2,0),"")</f>
        <v>Dólar estadounidense</v>
      </c>
      <c r="E353" s="266">
        <v>1622268.96</v>
      </c>
      <c r="F353" s="30" t="s">
        <v>529</v>
      </c>
      <c r="G353" s="150"/>
      <c r="H353" s="470">
        <v>46130</v>
      </c>
      <c r="I353" s="461" t="s">
        <v>510</v>
      </c>
      <c r="J353" s="461" t="str">
        <f>IFERROR(VLOOKUP(I353,'Base de Monedas'!A:B,2,0),"")</f>
        <v>Dólar estadounidense</v>
      </c>
      <c r="K353" s="489">
        <v>1593619.17</v>
      </c>
      <c r="L353" s="521" t="s">
        <v>529</v>
      </c>
    </row>
    <row r="354" spans="1:12" ht="15" customHeight="1">
      <c r="A354" s="491" t="s">
        <v>547</v>
      </c>
      <c r="B354" s="468">
        <v>46130</v>
      </c>
      <c r="C354" s="250" t="s">
        <v>510</v>
      </c>
      <c r="D354" s="461" t="str">
        <f>IFERROR(VLOOKUP(C354,'Base de Monedas'!A:B,2,0),"")</f>
        <v>Dólar estadounidense</v>
      </c>
      <c r="E354" s="266">
        <v>3713358.4</v>
      </c>
      <c r="F354" s="30" t="s">
        <v>529</v>
      </c>
      <c r="G354" s="150"/>
      <c r="H354" s="470">
        <v>46130</v>
      </c>
      <c r="I354" s="461" t="s">
        <v>510</v>
      </c>
      <c r="J354" s="461" t="str">
        <f>IFERROR(VLOOKUP(I354,'Base de Monedas'!A:B,2,0),"")</f>
        <v>Dólar estadounidense</v>
      </c>
      <c r="K354" s="489">
        <v>3647779.3</v>
      </c>
      <c r="L354" s="521" t="s">
        <v>529</v>
      </c>
    </row>
    <row r="355" spans="1:12" ht="15" customHeight="1">
      <c r="A355" s="491" t="s">
        <v>547</v>
      </c>
      <c r="B355" s="468">
        <v>46262</v>
      </c>
      <c r="C355" s="250" t="s">
        <v>510</v>
      </c>
      <c r="D355" s="461" t="str">
        <f>IFERROR(VLOOKUP(C355,'Base de Monedas'!A:B,2,0),"")</f>
        <v>Dólar estadounidense</v>
      </c>
      <c r="E355" s="266">
        <v>2055161.44</v>
      </c>
      <c r="F355" s="30" t="s">
        <v>529</v>
      </c>
      <c r="G355" s="150"/>
      <c r="H355" s="470">
        <v>46262</v>
      </c>
      <c r="I355" s="461" t="s">
        <v>510</v>
      </c>
      <c r="J355" s="461" t="str">
        <f>IFERROR(VLOOKUP(I355,'Base de Monedas'!A:B,2,0),"")</f>
        <v>Dólar estadounidense</v>
      </c>
      <c r="K355" s="489">
        <v>2018866.63</v>
      </c>
      <c r="L355" s="521" t="s">
        <v>529</v>
      </c>
    </row>
    <row r="356" spans="1:12" ht="15" customHeight="1">
      <c r="A356" s="491" t="s">
        <v>547</v>
      </c>
      <c r="B356" s="468">
        <v>46262</v>
      </c>
      <c r="C356" s="250" t="s">
        <v>510</v>
      </c>
      <c r="D356" s="461" t="str">
        <f>IFERROR(VLOOKUP(C356,'Base de Monedas'!A:B,2,0),"")</f>
        <v>Dólar estadounidense</v>
      </c>
      <c r="E356" s="266">
        <v>4678943.3600000003</v>
      </c>
      <c r="F356" s="30" t="s">
        <v>529</v>
      </c>
      <c r="G356" s="150"/>
      <c r="H356" s="470">
        <v>46262</v>
      </c>
      <c r="I356" s="461" t="s">
        <v>510</v>
      </c>
      <c r="J356" s="461" t="str">
        <f>IFERROR(VLOOKUP(I356,'Base de Monedas'!A:B,2,0),"")</f>
        <v>Dólar estadounidense</v>
      </c>
      <c r="K356" s="489">
        <v>4596311.72</v>
      </c>
      <c r="L356" s="521" t="s">
        <v>529</v>
      </c>
    </row>
    <row r="357" spans="1:12" ht="15" customHeight="1">
      <c r="A357" s="491" t="s">
        <v>547</v>
      </c>
      <c r="B357" s="468">
        <v>46263</v>
      </c>
      <c r="C357" s="250" t="s">
        <v>510</v>
      </c>
      <c r="D357" s="461" t="str">
        <f>IFERROR(VLOOKUP(C357,'Base de Monedas'!A:B,2,0),"")</f>
        <v>Dólar estadounidense</v>
      </c>
      <c r="E357" s="266">
        <v>6380333.7599999998</v>
      </c>
      <c r="F357" s="30" t="s">
        <v>529</v>
      </c>
      <c r="G357" s="150"/>
      <c r="H357" s="470">
        <v>46263</v>
      </c>
      <c r="I357" s="461" t="s">
        <v>510</v>
      </c>
      <c r="J357" s="461" t="str">
        <f>IFERROR(VLOOKUP(I357,'Base de Monedas'!A:B,2,0),"")</f>
        <v>Dólar estadounidense</v>
      </c>
      <c r="K357" s="489">
        <v>6267655.0199999996</v>
      </c>
      <c r="L357" s="521" t="s">
        <v>529</v>
      </c>
    </row>
    <row r="358" spans="1:12" ht="15" customHeight="1">
      <c r="A358" s="491" t="s">
        <v>547</v>
      </c>
      <c r="B358" s="468">
        <v>46263</v>
      </c>
      <c r="C358" s="250" t="s">
        <v>510</v>
      </c>
      <c r="D358" s="461" t="str">
        <f>IFERROR(VLOOKUP(C358,'Base de Monedas'!A:B,2,0),"")</f>
        <v>Dólar estadounidense</v>
      </c>
      <c r="E358" s="266">
        <v>14604732</v>
      </c>
      <c r="F358" s="30" t="s">
        <v>529</v>
      </c>
      <c r="G358" s="150"/>
      <c r="H358" s="470">
        <v>46263</v>
      </c>
      <c r="I358" s="461" t="s">
        <v>510</v>
      </c>
      <c r="J358" s="461" t="str">
        <f>IFERROR(VLOOKUP(I358,'Base de Monedas'!A:B,2,0),"")</f>
        <v>Dólar estadounidense</v>
      </c>
      <c r="K358" s="489">
        <v>14346807.75</v>
      </c>
      <c r="L358" s="521" t="s">
        <v>529</v>
      </c>
    </row>
    <row r="359" spans="1:12" ht="15" customHeight="1">
      <c r="A359" s="491" t="s">
        <v>547</v>
      </c>
      <c r="B359" s="468">
        <v>46294</v>
      </c>
      <c r="C359" s="250" t="s">
        <v>510</v>
      </c>
      <c r="D359" s="461" t="str">
        <f>IFERROR(VLOOKUP(C359,'Base de Monedas'!A:B,2,0),"")</f>
        <v>Dólar estadounidense</v>
      </c>
      <c r="E359" s="266">
        <v>811094.56</v>
      </c>
      <c r="F359" s="30" t="s">
        <v>529</v>
      </c>
      <c r="G359" s="150"/>
      <c r="H359" s="470">
        <v>46294</v>
      </c>
      <c r="I359" s="461" t="s">
        <v>510</v>
      </c>
      <c r="J359" s="461" t="str">
        <f>IFERROR(VLOOKUP(I359,'Base de Monedas'!A:B,2,0),"")</f>
        <v>Dólar estadounidense</v>
      </c>
      <c r="K359" s="489">
        <v>796770.37</v>
      </c>
      <c r="L359" s="521" t="s">
        <v>529</v>
      </c>
    </row>
    <row r="360" spans="1:12" ht="15" customHeight="1">
      <c r="A360" s="491" t="s">
        <v>547</v>
      </c>
      <c r="B360" s="468">
        <v>46294</v>
      </c>
      <c r="C360" s="250" t="s">
        <v>510</v>
      </c>
      <c r="D360" s="461" t="str">
        <f>IFERROR(VLOOKUP(C360,'Base de Monedas'!A:B,2,0),"")</f>
        <v>Dólar estadounidense</v>
      </c>
      <c r="E360" s="266">
        <v>1856679.2</v>
      </c>
      <c r="F360" s="30" t="s">
        <v>529</v>
      </c>
      <c r="G360" s="150"/>
      <c r="H360" s="470">
        <v>46294</v>
      </c>
      <c r="I360" s="461" t="s">
        <v>510</v>
      </c>
      <c r="J360" s="461" t="str">
        <f>IFERROR(VLOOKUP(I360,'Base de Monedas'!A:B,2,0),"")</f>
        <v>Dólar estadounidense</v>
      </c>
      <c r="K360" s="489">
        <v>1823889.65</v>
      </c>
      <c r="L360" s="521" t="s">
        <v>529</v>
      </c>
    </row>
    <row r="361" spans="1:12" ht="15" customHeight="1">
      <c r="A361" s="491" t="s">
        <v>547</v>
      </c>
      <c r="B361" s="468">
        <v>46305</v>
      </c>
      <c r="C361" s="250" t="s">
        <v>510</v>
      </c>
      <c r="D361" s="461" t="str">
        <f>IFERROR(VLOOKUP(C361,'Base de Monedas'!A:B,2,0),"")</f>
        <v>Dólar estadounidense</v>
      </c>
      <c r="E361" s="266">
        <v>1025784.3199999999</v>
      </c>
      <c r="F361" s="30" t="s">
        <v>529</v>
      </c>
      <c r="G361" s="150"/>
      <c r="H361" s="470">
        <v>46305</v>
      </c>
      <c r="I361" s="461" t="s">
        <v>510</v>
      </c>
      <c r="J361" s="461" t="str">
        <f>IFERROR(VLOOKUP(I361,'Base de Monedas'!A:B,2,0),"")</f>
        <v>Dólar estadounidense</v>
      </c>
      <c r="K361" s="489">
        <v>1007668.64</v>
      </c>
      <c r="L361" s="521" t="s">
        <v>529</v>
      </c>
    </row>
    <row r="362" spans="1:12" ht="15" customHeight="1">
      <c r="A362" s="491" t="s">
        <v>547</v>
      </c>
      <c r="B362" s="468">
        <v>46305</v>
      </c>
      <c r="C362" s="250" t="s">
        <v>510</v>
      </c>
      <c r="D362" s="461" t="str">
        <f>IFERROR(VLOOKUP(C362,'Base de Monedas'!A:B,2,0),"")</f>
        <v>Dólar estadounidense</v>
      </c>
      <c r="E362" s="266">
        <v>2335399.84</v>
      </c>
      <c r="F362" s="30" t="s">
        <v>529</v>
      </c>
      <c r="G362" s="150"/>
      <c r="H362" s="470">
        <v>46305</v>
      </c>
      <c r="I362" s="461" t="s">
        <v>510</v>
      </c>
      <c r="J362" s="461" t="str">
        <f>IFERROR(VLOOKUP(I362,'Base de Monedas'!A:B,2,0),"")</f>
        <v>Dólar estadounidense</v>
      </c>
      <c r="K362" s="489">
        <v>2294155.9300000002</v>
      </c>
      <c r="L362" s="521" t="s">
        <v>529</v>
      </c>
    </row>
    <row r="363" spans="1:12" ht="15" customHeight="1">
      <c r="A363" s="491" t="s">
        <v>547</v>
      </c>
      <c r="B363" s="468">
        <v>46310</v>
      </c>
      <c r="C363" s="250" t="s">
        <v>510</v>
      </c>
      <c r="D363" s="461" t="str">
        <f>IFERROR(VLOOKUP(C363,'Base de Monedas'!A:B,2,0),"")</f>
        <v>Dólar estadounidense</v>
      </c>
      <c r="E363" s="266">
        <v>811094.56</v>
      </c>
      <c r="F363" s="30" t="s">
        <v>529</v>
      </c>
      <c r="G363" s="150"/>
      <c r="H363" s="470">
        <v>46310</v>
      </c>
      <c r="I363" s="461" t="s">
        <v>510</v>
      </c>
      <c r="J363" s="461" t="str">
        <f>IFERROR(VLOOKUP(I363,'Base de Monedas'!A:B,2,0),"")</f>
        <v>Dólar estadounidense</v>
      </c>
      <c r="K363" s="489">
        <v>796770.37</v>
      </c>
      <c r="L363" s="521" t="s">
        <v>529</v>
      </c>
    </row>
    <row r="364" spans="1:12" ht="15" customHeight="1">
      <c r="A364" s="491" t="s">
        <v>547</v>
      </c>
      <c r="B364" s="468">
        <v>46310</v>
      </c>
      <c r="C364" s="250" t="s">
        <v>510</v>
      </c>
      <c r="D364" s="461" t="str">
        <f>IFERROR(VLOOKUP(C364,'Base de Monedas'!A:B,2,0),"")</f>
        <v>Dólar estadounidense</v>
      </c>
      <c r="E364" s="266">
        <v>1856679.2</v>
      </c>
      <c r="F364" s="30" t="s">
        <v>529</v>
      </c>
      <c r="G364" s="150"/>
      <c r="H364" s="470">
        <v>46310</v>
      </c>
      <c r="I364" s="461" t="s">
        <v>510</v>
      </c>
      <c r="J364" s="461" t="str">
        <f>IFERROR(VLOOKUP(I364,'Base de Monedas'!A:B,2,0),"")</f>
        <v>Dólar estadounidense</v>
      </c>
      <c r="K364" s="489">
        <v>1823889.65</v>
      </c>
      <c r="L364" s="521" t="s">
        <v>529</v>
      </c>
    </row>
    <row r="365" spans="1:12" ht="15" customHeight="1">
      <c r="A365" s="143" t="s">
        <v>545</v>
      </c>
      <c r="B365" s="496" t="s">
        <v>535</v>
      </c>
      <c r="C365" s="462" t="s">
        <v>535</v>
      </c>
      <c r="D365" s="461" t="str">
        <f>IFERROR(VLOOKUP(C365,'Base de Monedas'!A:B,2,0),"")</f>
        <v/>
      </c>
      <c r="E365" s="266" t="s">
        <v>535</v>
      </c>
      <c r="F365" s="30" t="s">
        <v>535</v>
      </c>
      <c r="G365" s="150"/>
      <c r="H365" s="470">
        <v>46027</v>
      </c>
      <c r="I365" s="461" t="s">
        <v>510</v>
      </c>
      <c r="J365" s="461" t="str">
        <f>IFERROR(VLOOKUP(I365,'Base de Monedas'!A:B,2,0),"")</f>
        <v>Dólar estadounidense</v>
      </c>
      <c r="K365" s="489">
        <v>49034592.859999999</v>
      </c>
      <c r="L365" s="521" t="s">
        <v>549</v>
      </c>
    </row>
    <row r="366" spans="1:12" ht="15" customHeight="1">
      <c r="A366" s="143" t="s">
        <v>545</v>
      </c>
      <c r="B366" s="496" t="s">
        <v>535</v>
      </c>
      <c r="C366" s="462" t="s">
        <v>535</v>
      </c>
      <c r="D366" s="461" t="str">
        <f>IFERROR(VLOOKUP(C366,'Base de Monedas'!A:B,2,0),"")</f>
        <v/>
      </c>
      <c r="E366" s="266" t="s">
        <v>535</v>
      </c>
      <c r="F366" s="30" t="s">
        <v>535</v>
      </c>
      <c r="G366" s="150"/>
      <c r="H366" s="470">
        <v>46058</v>
      </c>
      <c r="I366" s="461" t="s">
        <v>510</v>
      </c>
      <c r="J366" s="461" t="str">
        <f>IFERROR(VLOOKUP(I366,'Base de Monedas'!A:B,2,0),"")</f>
        <v>Dólar estadounidense</v>
      </c>
      <c r="K366" s="489">
        <v>46900434.130000003</v>
      </c>
      <c r="L366" s="521" t="s">
        <v>549</v>
      </c>
    </row>
    <row r="367" spans="1:12" ht="15" customHeight="1">
      <c r="A367" s="143" t="s">
        <v>545</v>
      </c>
      <c r="B367" s="496" t="s">
        <v>535</v>
      </c>
      <c r="C367" s="462" t="s">
        <v>535</v>
      </c>
      <c r="D367" s="461" t="str">
        <f>IFERROR(VLOOKUP(C367,'Base de Monedas'!A:B,2,0),"")</f>
        <v/>
      </c>
      <c r="E367" s="266" t="s">
        <v>535</v>
      </c>
      <c r="F367" s="30" t="s">
        <v>535</v>
      </c>
      <c r="G367" s="150"/>
      <c r="H367" s="470">
        <v>46086</v>
      </c>
      <c r="I367" s="461" t="s">
        <v>510</v>
      </c>
      <c r="J367" s="461" t="str">
        <f>IFERROR(VLOOKUP(I367,'Base de Monedas'!A:B,2,0),"")</f>
        <v>Dólar estadounidense</v>
      </c>
      <c r="K367" s="489">
        <v>44751844.280000001</v>
      </c>
      <c r="L367" s="521" t="s">
        <v>549</v>
      </c>
    </row>
    <row r="368" spans="1:12" ht="15" customHeight="1">
      <c r="A368" s="143" t="s">
        <v>545</v>
      </c>
      <c r="B368" s="468">
        <v>46117</v>
      </c>
      <c r="C368" s="250" t="s">
        <v>510</v>
      </c>
      <c r="D368" s="461" t="str">
        <f>IFERROR(VLOOKUP(C368,'Base de Monedas'!A:B,2,0),"")</f>
        <v>Dólar estadounidense</v>
      </c>
      <c r="E368" s="266">
        <v>43354636.960000001</v>
      </c>
      <c r="F368" s="30" t="s">
        <v>549</v>
      </c>
      <c r="G368" s="150"/>
      <c r="H368" s="470">
        <v>46117</v>
      </c>
      <c r="I368" s="461" t="s">
        <v>510</v>
      </c>
      <c r="J368" s="461" t="str">
        <f>IFERROR(VLOOKUP(I368,'Base de Monedas'!A:B,2,0),"")</f>
        <v>Dólar estadounidense</v>
      </c>
      <c r="K368" s="489">
        <v>42588980.170000002</v>
      </c>
      <c r="L368" s="521" t="s">
        <v>549</v>
      </c>
    </row>
    <row r="369" spans="1:12" ht="15" customHeight="1">
      <c r="A369" s="143" t="s">
        <v>545</v>
      </c>
      <c r="B369" s="468">
        <v>46147</v>
      </c>
      <c r="C369" s="250" t="s">
        <v>510</v>
      </c>
      <c r="D369" s="461" t="str">
        <f>IFERROR(VLOOKUP(C369,'Base de Monedas'!A:B,2,0),"")</f>
        <v>Dólar estadounidense</v>
      </c>
      <c r="E369" s="266">
        <v>41138039.039999999</v>
      </c>
      <c r="F369" s="30" t="s">
        <v>549</v>
      </c>
      <c r="G369" s="150"/>
      <c r="H369" s="470">
        <v>46147</v>
      </c>
      <c r="I369" s="461" t="s">
        <v>510</v>
      </c>
      <c r="J369" s="461" t="str">
        <f>IFERROR(VLOOKUP(I369,'Base de Monedas'!A:B,2,0),"")</f>
        <v>Dólar estadounidense</v>
      </c>
      <c r="K369" s="489">
        <v>40411528.079999998</v>
      </c>
      <c r="L369" s="521" t="s">
        <v>549</v>
      </c>
    </row>
    <row r="370" spans="1:12" ht="15" customHeight="1">
      <c r="A370" s="143" t="s">
        <v>545</v>
      </c>
      <c r="B370" s="468">
        <v>46150</v>
      </c>
      <c r="C370" s="250" t="s">
        <v>510</v>
      </c>
      <c r="D370" s="461" t="str">
        <f>IFERROR(VLOOKUP(C370,'Base de Monedas'!A:B,2,0),"")</f>
        <v>Dólar estadounidense</v>
      </c>
      <c r="E370" s="266">
        <v>15906603.039999999</v>
      </c>
      <c r="F370" s="30" t="s">
        <v>549</v>
      </c>
      <c r="G370" s="150"/>
      <c r="H370" s="470">
        <v>46150</v>
      </c>
      <c r="I370" s="461" t="s">
        <v>510</v>
      </c>
      <c r="J370" s="461" t="str">
        <f>IFERROR(VLOOKUP(I370,'Base de Monedas'!A:B,2,0),"")</f>
        <v>Dólar estadounidense</v>
      </c>
      <c r="K370" s="489">
        <v>15625687.33</v>
      </c>
      <c r="L370" s="521" t="s">
        <v>549</v>
      </c>
    </row>
    <row r="371" spans="1:12" ht="15" customHeight="1">
      <c r="A371" s="143" t="s">
        <v>545</v>
      </c>
      <c r="B371" s="468">
        <v>46178</v>
      </c>
      <c r="C371" s="250" t="s">
        <v>510</v>
      </c>
      <c r="D371" s="461" t="str">
        <f>IFERROR(VLOOKUP(C371,'Base de Monedas'!A:B,2,0),"")</f>
        <v>Dólar estadounidense</v>
      </c>
      <c r="E371" s="266">
        <v>38906750.560000002</v>
      </c>
      <c r="F371" s="30" t="s">
        <v>549</v>
      </c>
      <c r="G371" s="150"/>
      <c r="H371" s="470">
        <v>46178</v>
      </c>
      <c r="I371" s="461" t="s">
        <v>510</v>
      </c>
      <c r="J371" s="461" t="str">
        <f>IFERROR(VLOOKUP(I371,'Base de Monedas'!A:B,2,0),"")</f>
        <v>Dólar estadounidense</v>
      </c>
      <c r="K371" s="489">
        <v>38219644.869999997</v>
      </c>
      <c r="L371" s="521" t="s">
        <v>549</v>
      </c>
    </row>
    <row r="372" spans="1:12" ht="15" customHeight="1">
      <c r="A372" s="143" t="s">
        <v>545</v>
      </c>
      <c r="B372" s="468">
        <v>46208</v>
      </c>
      <c r="C372" s="250" t="s">
        <v>510</v>
      </c>
      <c r="D372" s="461" t="str">
        <f>IFERROR(VLOOKUP(C372,'Base de Monedas'!A:B,2,0),"")</f>
        <v>Dólar estadounidense</v>
      </c>
      <c r="E372" s="266">
        <v>36660452.159999996</v>
      </c>
      <c r="F372" s="30" t="s">
        <v>549</v>
      </c>
      <c r="G372" s="150"/>
      <c r="H372" s="470">
        <v>46208</v>
      </c>
      <c r="I372" s="461" t="s">
        <v>510</v>
      </c>
      <c r="J372" s="461" t="str">
        <f>IFERROR(VLOOKUP(I372,'Base de Monedas'!A:B,2,0),"")</f>
        <v>Dólar estadounidense</v>
      </c>
      <c r="K372" s="489">
        <v>36013016.82</v>
      </c>
      <c r="L372" s="521" t="s">
        <v>549</v>
      </c>
    </row>
    <row r="373" spans="1:12" ht="15" customHeight="1">
      <c r="A373" s="143" t="s">
        <v>545</v>
      </c>
      <c r="B373" s="468">
        <v>46239</v>
      </c>
      <c r="C373" s="250" t="s">
        <v>510</v>
      </c>
      <c r="D373" s="461" t="str">
        <f>IFERROR(VLOOKUP(C373,'Base de Monedas'!A:B,2,0),"")</f>
        <v>Dólar estadounidense</v>
      </c>
      <c r="E373" s="266">
        <v>18492860.16</v>
      </c>
      <c r="F373" s="30" t="s">
        <v>549</v>
      </c>
      <c r="G373" s="150"/>
      <c r="H373" s="470">
        <v>46239</v>
      </c>
      <c r="I373" s="461" t="s">
        <v>510</v>
      </c>
      <c r="J373" s="461" t="str">
        <f>IFERROR(VLOOKUP(I373,'Base de Monedas'!A:B,2,0),"")</f>
        <v>Dólar estadounidense</v>
      </c>
      <c r="K373" s="489">
        <v>18166270.32</v>
      </c>
      <c r="L373" s="521" t="s">
        <v>549</v>
      </c>
    </row>
    <row r="374" spans="1:12" ht="15" customHeight="1">
      <c r="A374" s="143" t="s">
        <v>545</v>
      </c>
      <c r="B374" s="468">
        <v>46270</v>
      </c>
      <c r="C374" s="250" t="s">
        <v>510</v>
      </c>
      <c r="D374" s="461" t="str">
        <f>IFERROR(VLOOKUP(C374,'Base de Monedas'!A:B,2,0),"")</f>
        <v>Dólar estadounidense</v>
      </c>
      <c r="E374" s="266">
        <v>32122985.280000001</v>
      </c>
      <c r="F374" s="30" t="s">
        <v>549</v>
      </c>
      <c r="G374" s="150"/>
      <c r="H374" s="470">
        <v>46270</v>
      </c>
      <c r="I374" s="461" t="s">
        <v>510</v>
      </c>
      <c r="J374" s="461" t="str">
        <f>IFERROR(VLOOKUP(I374,'Base de Monedas'!A:B,2,0),"")</f>
        <v>Dólar estadounidense</v>
      </c>
      <c r="K374" s="489">
        <v>31555683.059999999</v>
      </c>
      <c r="L374" s="521" t="s">
        <v>549</v>
      </c>
    </row>
    <row r="375" spans="1:12" ht="15" customHeight="1">
      <c r="A375" s="143" t="s">
        <v>545</v>
      </c>
      <c r="B375" s="468">
        <v>46300</v>
      </c>
      <c r="C375" s="250" t="s">
        <v>510</v>
      </c>
      <c r="D375" s="461" t="str">
        <f>IFERROR(VLOOKUP(C375,'Base de Monedas'!A:B,2,0),"")</f>
        <v>Dólar estadounidense</v>
      </c>
      <c r="E375" s="266">
        <v>29831497.440000001</v>
      </c>
      <c r="F375" s="30" t="s">
        <v>549</v>
      </c>
      <c r="G375" s="150"/>
      <c r="H375" s="470">
        <v>46300</v>
      </c>
      <c r="I375" s="461" t="s">
        <v>510</v>
      </c>
      <c r="J375" s="461" t="str">
        <f>IFERROR(VLOOKUP(I375,'Base de Monedas'!A:B,2,0),"")</f>
        <v>Dólar estadounidense</v>
      </c>
      <c r="K375" s="489">
        <v>29304663.629999999</v>
      </c>
      <c r="L375" s="521" t="s">
        <v>549</v>
      </c>
    </row>
    <row r="376" spans="1:12" ht="15" customHeight="1">
      <c r="A376" s="143" t="s">
        <v>545</v>
      </c>
      <c r="B376" s="468">
        <v>46331</v>
      </c>
      <c r="C376" s="250" t="s">
        <v>510</v>
      </c>
      <c r="D376" s="461" t="str">
        <f>IFERROR(VLOOKUP(C376,'Base de Monedas'!A:B,2,0),"")</f>
        <v>Dólar estadounidense</v>
      </c>
      <c r="E376" s="266">
        <v>27524840</v>
      </c>
      <c r="F376" s="30" t="s">
        <v>549</v>
      </c>
      <c r="G376" s="150"/>
      <c r="H376" s="470">
        <v>46331</v>
      </c>
      <c r="I376" s="461" t="s">
        <v>510</v>
      </c>
      <c r="J376" s="461" t="str">
        <f>IFERROR(VLOOKUP(I376,'Base de Monedas'!A:B,2,0),"")</f>
        <v>Dólar estadounidense</v>
      </c>
      <c r="K376" s="489">
        <v>27038742.5</v>
      </c>
      <c r="L376" s="521" t="s">
        <v>549</v>
      </c>
    </row>
    <row r="377" spans="1:12" ht="15" customHeight="1">
      <c r="A377" s="143" t="s">
        <v>545</v>
      </c>
      <c r="B377" s="468">
        <v>46361</v>
      </c>
      <c r="C377" s="250" t="s">
        <v>510</v>
      </c>
      <c r="D377" s="461" t="str">
        <f>IFERROR(VLOOKUP(C377,'Base de Monedas'!A:B,2,0),"")</f>
        <v>Dólar estadounidense</v>
      </c>
      <c r="E377" s="266">
        <v>25202613.760000002</v>
      </c>
      <c r="F377" s="30" t="s">
        <v>549</v>
      </c>
      <c r="G377" s="150"/>
      <c r="H377" s="470">
        <v>46361</v>
      </c>
      <c r="I377" s="461" t="s">
        <v>510</v>
      </c>
      <c r="J377" s="461" t="str">
        <f>IFERROR(VLOOKUP(I377,'Base de Monedas'!A:B,2,0),"")</f>
        <v>Dólar estadounidense</v>
      </c>
      <c r="K377" s="489">
        <v>24757527.52</v>
      </c>
      <c r="L377" s="521" t="s">
        <v>549</v>
      </c>
    </row>
    <row r="378" spans="1:12" ht="15" customHeight="1">
      <c r="A378" s="143" t="s">
        <v>545</v>
      </c>
      <c r="B378" s="468">
        <v>46392</v>
      </c>
      <c r="C378" s="250" t="s">
        <v>510</v>
      </c>
      <c r="D378" s="461" t="str">
        <f>IFERROR(VLOOKUP(C378,'Base de Monedas'!A:B,2,0),"")</f>
        <v>Dólar estadounidense</v>
      </c>
      <c r="E378" s="266">
        <v>22864818.719999999</v>
      </c>
      <c r="F378" s="30" t="s">
        <v>549</v>
      </c>
      <c r="G378" s="150"/>
      <c r="H378" s="470">
        <v>46392</v>
      </c>
      <c r="I378" s="461" t="s">
        <v>510</v>
      </c>
      <c r="J378" s="461" t="str">
        <f>IFERROR(VLOOKUP(I378,'Base de Monedas'!A:B,2,0),"")</f>
        <v>Dólar estadounidense</v>
      </c>
      <c r="K378" s="489">
        <v>22461018.690000001</v>
      </c>
      <c r="L378" s="521" t="s">
        <v>549</v>
      </c>
    </row>
    <row r="379" spans="1:12" ht="15" customHeight="1">
      <c r="A379" s="143" t="s">
        <v>545</v>
      </c>
      <c r="B379" s="468">
        <v>46423</v>
      </c>
      <c r="C379" s="250" t="s">
        <v>510</v>
      </c>
      <c r="D379" s="461" t="str">
        <f>IFERROR(VLOOKUP(C379,'Base de Monedas'!A:B,2,0),"")</f>
        <v>Dólar estadounidense</v>
      </c>
      <c r="E379" s="266">
        <v>20511614.559999999</v>
      </c>
      <c r="F379" s="30" t="s">
        <v>549</v>
      </c>
      <c r="G379" s="150"/>
      <c r="H379" s="470">
        <v>46423</v>
      </c>
      <c r="I379" s="461" t="s">
        <v>510</v>
      </c>
      <c r="J379" s="461" t="str">
        <f>IFERROR(VLOOKUP(I379,'Base de Monedas'!A:B,2,0),"")</f>
        <v>Dólar estadounidense</v>
      </c>
      <c r="K379" s="489">
        <v>20149372.870000001</v>
      </c>
      <c r="L379" s="521" t="s">
        <v>549</v>
      </c>
    </row>
    <row r="380" spans="1:12" ht="15" customHeight="1">
      <c r="A380" s="143" t="s">
        <v>545</v>
      </c>
      <c r="B380" s="468">
        <v>46451</v>
      </c>
      <c r="C380" s="250" t="s">
        <v>510</v>
      </c>
      <c r="D380" s="461" t="str">
        <f>IFERROR(VLOOKUP(C380,'Base de Monedas'!A:B,2,0),"")</f>
        <v>Dólar estadounidense</v>
      </c>
      <c r="E380" s="266">
        <v>18142522.239999998</v>
      </c>
      <c r="F380" s="30" t="s">
        <v>549</v>
      </c>
      <c r="G380" s="150"/>
      <c r="H380" s="470">
        <v>46451</v>
      </c>
      <c r="I380" s="461" t="s">
        <v>510</v>
      </c>
      <c r="J380" s="461" t="str">
        <f>IFERROR(VLOOKUP(I380,'Base de Monedas'!A:B,2,0),"")</f>
        <v>Dólar estadounidense</v>
      </c>
      <c r="K380" s="489">
        <v>17822119.48</v>
      </c>
      <c r="L380" s="521" t="s">
        <v>549</v>
      </c>
    </row>
    <row r="381" spans="1:12" ht="15" customHeight="1">
      <c r="A381" s="143" t="s">
        <v>545</v>
      </c>
      <c r="B381" s="468">
        <v>46482</v>
      </c>
      <c r="C381" s="250" t="s">
        <v>510</v>
      </c>
      <c r="D381" s="461" t="str">
        <f>IFERROR(VLOOKUP(C381,'Base de Monedas'!A:B,2,0),"")</f>
        <v>Dólar estadounidense</v>
      </c>
      <c r="E381" s="266">
        <v>15757541.76</v>
      </c>
      <c r="F381" s="30" t="s">
        <v>549</v>
      </c>
      <c r="G381" s="150"/>
      <c r="H381" s="470">
        <v>46482</v>
      </c>
      <c r="I381" s="461" t="s">
        <v>510</v>
      </c>
      <c r="J381" s="461" t="str">
        <f>IFERROR(VLOOKUP(I381,'Base de Monedas'!A:B,2,0),"")</f>
        <v>Dólar estadounidense</v>
      </c>
      <c r="K381" s="489">
        <v>15479258.52</v>
      </c>
      <c r="L381" s="521" t="s">
        <v>549</v>
      </c>
    </row>
    <row r="382" spans="1:12" ht="15" customHeight="1">
      <c r="A382" s="143" t="s">
        <v>545</v>
      </c>
      <c r="B382" s="468">
        <v>46512</v>
      </c>
      <c r="C382" s="250" t="s">
        <v>510</v>
      </c>
      <c r="D382" s="461" t="str">
        <f>IFERROR(VLOOKUP(C382,'Base de Monedas'!A:B,2,0),"")</f>
        <v>Dólar estadounidense</v>
      </c>
      <c r="E382" s="266">
        <v>13356832.800000001</v>
      </c>
      <c r="F382" s="30" t="s">
        <v>549</v>
      </c>
      <c r="G382" s="150"/>
      <c r="H382" s="470">
        <v>46512</v>
      </c>
      <c r="I382" s="461" t="s">
        <v>510</v>
      </c>
      <c r="J382" s="461" t="str">
        <f>IFERROR(VLOOKUP(I382,'Base de Monedas'!A:B,2,0),"")</f>
        <v>Dólar estadounidense</v>
      </c>
      <c r="K382" s="489">
        <v>13120946.85</v>
      </c>
      <c r="L382" s="521" t="s">
        <v>549</v>
      </c>
    </row>
    <row r="383" spans="1:12" ht="15" customHeight="1">
      <c r="A383" s="143" t="s">
        <v>545</v>
      </c>
      <c r="B383" s="468">
        <v>46543</v>
      </c>
      <c r="C383" s="250" t="s">
        <v>510</v>
      </c>
      <c r="D383" s="461" t="str">
        <f>IFERROR(VLOOKUP(C383,'Base de Monedas'!A:B,2,0),"")</f>
        <v>Dólar estadounidense</v>
      </c>
      <c r="E383" s="266">
        <v>10940155.84</v>
      </c>
      <c r="F383" s="30" t="s">
        <v>549</v>
      </c>
      <c r="G383" s="150"/>
      <c r="H383" s="470">
        <v>46543</v>
      </c>
      <c r="I383" s="461" t="s">
        <v>510</v>
      </c>
      <c r="J383" s="461" t="str">
        <f>IFERROR(VLOOKUP(I383,'Base de Monedas'!A:B,2,0),"")</f>
        <v>Dólar estadounidense</v>
      </c>
      <c r="K383" s="489">
        <v>10746949.18</v>
      </c>
      <c r="L383" s="521" t="s">
        <v>549</v>
      </c>
    </row>
    <row r="384" spans="1:12" ht="15" customHeight="1">
      <c r="A384" s="143" t="s">
        <v>545</v>
      </c>
      <c r="B384" s="468">
        <v>46573</v>
      </c>
      <c r="C384" s="250" t="s">
        <v>510</v>
      </c>
      <c r="D384" s="461" t="str">
        <f>IFERROR(VLOOKUP(C384,'Base de Monedas'!A:B,2,0),"")</f>
        <v>Dólar estadounidense</v>
      </c>
      <c r="E384" s="266">
        <v>8507111.6799999997</v>
      </c>
      <c r="F384" s="30" t="s">
        <v>549</v>
      </c>
      <c r="G384" s="150"/>
      <c r="H384" s="470">
        <v>46573</v>
      </c>
      <c r="I384" s="461" t="s">
        <v>510</v>
      </c>
      <c r="J384" s="461" t="str">
        <f>IFERROR(VLOOKUP(I384,'Base de Monedas'!A:B,2,0),"")</f>
        <v>Dólar estadounidense</v>
      </c>
      <c r="K384" s="489">
        <v>8356873.3600000003</v>
      </c>
      <c r="L384" s="521" t="s">
        <v>549</v>
      </c>
    </row>
    <row r="385" spans="1:12" ht="15" customHeight="1">
      <c r="A385" s="143" t="s">
        <v>545</v>
      </c>
      <c r="B385" s="468">
        <v>46604</v>
      </c>
      <c r="C385" s="250" t="s">
        <v>510</v>
      </c>
      <c r="D385" s="461" t="str">
        <f>IFERROR(VLOOKUP(C385,'Base de Monedas'!A:B,2,0),"")</f>
        <v>Dólar estadounidense</v>
      </c>
      <c r="E385" s="266">
        <v>6058179.3600000003</v>
      </c>
      <c r="F385" s="30" t="s">
        <v>549</v>
      </c>
      <c r="G385" s="150"/>
      <c r="H385" s="487">
        <v>46604</v>
      </c>
      <c r="I385" s="461" t="s">
        <v>510</v>
      </c>
      <c r="J385" s="461" t="str">
        <f>IFERROR(VLOOKUP(I385,'Base de Monedas'!A:B,2,0),"")</f>
        <v>Dólar estadounidense</v>
      </c>
      <c r="K385" s="489">
        <v>5951189.9699999997</v>
      </c>
      <c r="L385" s="30" t="s">
        <v>549</v>
      </c>
    </row>
    <row r="386" spans="1:12" ht="15" customHeight="1">
      <c r="A386" s="143" t="s">
        <v>545</v>
      </c>
      <c r="B386" s="468">
        <v>46635</v>
      </c>
      <c r="C386" s="250" t="s">
        <v>510</v>
      </c>
      <c r="D386" s="461" t="str">
        <f>IFERROR(VLOOKUP(C386,'Base de Monedas'!A:B,2,0),"")</f>
        <v>Dólar estadounidense</v>
      </c>
      <c r="E386" s="266">
        <v>3593199.2</v>
      </c>
      <c r="F386" s="30" t="s">
        <v>549</v>
      </c>
      <c r="G386" s="150"/>
      <c r="H386" s="487">
        <v>46635</v>
      </c>
      <c r="I386" s="461" t="s">
        <v>510</v>
      </c>
      <c r="J386" s="461" t="str">
        <f>IFERROR(VLOOKUP(I386,'Base de Monedas'!A:B,2,0),"")</f>
        <v>Dólar estadounidense</v>
      </c>
      <c r="K386" s="489">
        <v>3529742.15</v>
      </c>
      <c r="L386" s="30" t="s">
        <v>549</v>
      </c>
    </row>
    <row r="387" spans="1:12" ht="15" customHeight="1">
      <c r="A387" s="143" t="s">
        <v>545</v>
      </c>
      <c r="B387" s="468">
        <v>46665</v>
      </c>
      <c r="C387" s="250" t="s">
        <v>510</v>
      </c>
      <c r="D387" s="461" t="str">
        <f>IFERROR(VLOOKUP(C387,'Base de Monedas'!A:B,2,0),"")</f>
        <v>Dólar estadounidense</v>
      </c>
      <c r="E387" s="266">
        <v>1110255.04</v>
      </c>
      <c r="F387" s="30" t="s">
        <v>549</v>
      </c>
      <c r="G387" s="150"/>
      <c r="H387" s="487">
        <v>46665</v>
      </c>
      <c r="I387" s="461" t="s">
        <v>510</v>
      </c>
      <c r="J387" s="461" t="str">
        <f>IFERROR(VLOOKUP(I387,'Base de Monedas'!A:B,2,0),"")</f>
        <v>Dólar estadounidense</v>
      </c>
      <c r="K387" s="489">
        <v>1090647.58</v>
      </c>
      <c r="L387" s="30" t="s">
        <v>549</v>
      </c>
    </row>
    <row r="388" spans="1:12" s="391" customFormat="1" ht="15" customHeight="1">
      <c r="A388" s="529" t="s">
        <v>543</v>
      </c>
      <c r="B388" s="530"/>
      <c r="C388" s="531" t="s">
        <v>510</v>
      </c>
      <c r="D388" s="531" t="str">
        <f>IFERROR(VLOOKUP(C388,'Base de Monedas'!A:B,2,0),"")</f>
        <v>Dólar estadounidense</v>
      </c>
      <c r="E388" s="532">
        <v>-478457328</v>
      </c>
      <c r="F388" s="531"/>
      <c r="G388" s="533"/>
      <c r="H388" s="534"/>
      <c r="I388" s="531" t="s">
        <v>510</v>
      </c>
      <c r="J388" s="535" t="str">
        <f>IFERROR(VLOOKUP(I388,'Base de Monedas'!A:B,2,0),"")</f>
        <v>Dólar estadounidense</v>
      </c>
      <c r="K388" s="536">
        <v>-670395170</v>
      </c>
      <c r="L388" s="531" t="s">
        <v>529</v>
      </c>
    </row>
    <row r="389" spans="1:12" ht="15" customHeight="1">
      <c r="A389" s="54" t="s">
        <v>257</v>
      </c>
      <c r="C389" s="432"/>
      <c r="D389" s="162" t="str">
        <f>IFERROR(VLOOKUP(C389,'Base de Monedas'!A:B,2,0),"")</f>
        <v/>
      </c>
      <c r="E389" s="507">
        <f>SUM(E284:E388)+1</f>
        <v>86108018920.799957</v>
      </c>
      <c r="F389" s="432"/>
      <c r="H389" s="432"/>
      <c r="I389" s="432"/>
      <c r="J389" s="162" t="str">
        <f>IFERROR(VLOOKUP(I389,'Base de Monedas'!A:B,2,0),"")</f>
        <v/>
      </c>
      <c r="K389" s="537">
        <f>SUM(K285:K388)</f>
        <v>95128704463.209976</v>
      </c>
      <c r="L389" s="5"/>
    </row>
    <row r="390" spans="1:12" ht="15" customHeight="1">
      <c r="E390" s="507"/>
      <c r="J390" s="162" t="str">
        <f>IFERROR(VLOOKUP(I390,'Base de Monedas'!H:I,2,0),"")</f>
        <v/>
      </c>
    </row>
    <row r="391" spans="1:12">
      <c r="E391" s="300"/>
      <c r="F391" s="515"/>
    </row>
    <row r="394" spans="1:12">
      <c r="E394" s="300"/>
    </row>
  </sheetData>
  <dataValidations count="1">
    <dataValidation type="list" allowBlank="1" showInputMessage="1" showErrorMessage="1" sqref="I92" xr:uid="{00000000-0002-0000-1300-000000000000}">
      <formula1>0</formula1>
      <formula2>0</formula2>
    </dataValidation>
  </dataValidations>
  <hyperlinks>
    <hyperlink ref="E1" location="BG!A1" display="BG" xr:uid="{00000000-0004-0000-1300-000000000000}"/>
    <hyperlink ref="L1" location="BG!A1" display="BG" xr:uid="{00000000-0004-0000-1300-000001000000}"/>
  </hyperlinks>
  <printOptions horizontalCentered="1"/>
  <pageMargins left="0.70833333333333304" right="0.70833333333333304" top="0.74791666666666701" bottom="0.74791666666666701" header="0.511811023622047" footer="0.511811023622047"/>
  <pageSetup paperSize="5" scale="80"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1000000}">
          <x14:formula1>
            <xm:f>'C:\users\camilav\desktop\kurosu &amp; cia s.a. 31_12_2021\[a)-estados financieros  dic 2021_ok -ao.xls]base de monedas'!#REF!</xm:f>
          </x14:formula1>
          <x14:formula2>
            <xm:f>0</xm:f>
          </x14:formula2>
          <xm:sqref>C96:C117 C124:C163 C166:C259 C296:C307 I296:I307 C325:C343 C351:C364 C368:C387</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DCDCDC"/>
  </sheetPr>
  <dimension ref="A1:AH13"/>
  <sheetViews>
    <sheetView zoomScaleNormal="100" workbookViewId="0">
      <selection activeCell="F14" activeCellId="1" sqref="A166:A259 F14"/>
    </sheetView>
  </sheetViews>
  <sheetFormatPr baseColWidth="10" defaultColWidth="10.54296875" defaultRowHeight="14.5"/>
  <cols>
    <col min="1" max="1" width="44.81640625" style="162" customWidth="1"/>
    <col min="2" max="2" width="18.1796875" style="162" customWidth="1"/>
    <col min="3" max="3" width="20.1796875" style="162" customWidth="1"/>
    <col min="4" max="34" width="11.453125" style="162" customWidth="1"/>
  </cols>
  <sheetData>
    <row r="1" spans="1:4" ht="26">
      <c r="A1" s="428" t="str">
        <f>Indice!C1</f>
        <v>KUROSU &amp; CIA. S.A.</v>
      </c>
      <c r="D1" s="298" t="s">
        <v>23</v>
      </c>
    </row>
    <row r="5" spans="1:4">
      <c r="A5" s="212" t="s">
        <v>570</v>
      </c>
      <c r="B5" s="212"/>
      <c r="C5" s="212"/>
      <c r="D5" s="212"/>
    </row>
    <row r="7" spans="1:4">
      <c r="B7" s="765" t="s">
        <v>378</v>
      </c>
      <c r="C7" s="765"/>
    </row>
    <row r="8" spans="1:4">
      <c r="A8" s="538" t="s">
        <v>49</v>
      </c>
      <c r="B8" s="241">
        <f>IFERROR(IF(Indice!B8="","2XX2",YEAR(Indice!B8)),"2XX2")</f>
        <v>2025</v>
      </c>
      <c r="C8" s="241">
        <f>IFERROR(YEAR(Indice!B8-365),"2XX1")</f>
        <v>2024</v>
      </c>
      <c r="D8" s="418"/>
    </row>
    <row r="9" spans="1:4">
      <c r="A9" s="539" t="s">
        <v>45</v>
      </c>
      <c r="B9" s="540">
        <v>0</v>
      </c>
      <c r="C9" s="540">
        <v>0</v>
      </c>
      <c r="D9" s="539"/>
    </row>
    <row r="10" spans="1:4">
      <c r="A10" s="419" t="s">
        <v>571</v>
      </c>
      <c r="B10" s="540">
        <v>7661426114</v>
      </c>
      <c r="C10" s="540">
        <v>15362938986.559999</v>
      </c>
      <c r="D10" s="419"/>
    </row>
    <row r="11" spans="1:4">
      <c r="A11" s="419" t="s">
        <v>572</v>
      </c>
      <c r="B11" s="540">
        <v>893191557</v>
      </c>
      <c r="C11" s="540">
        <v>2502907570.3600001</v>
      </c>
      <c r="D11" s="419"/>
    </row>
    <row r="12" spans="1:4">
      <c r="A12" s="419" t="s">
        <v>573</v>
      </c>
      <c r="B12" s="540">
        <v>5240084047.5200005</v>
      </c>
      <c r="C12" s="540">
        <v>5191572323.54</v>
      </c>
      <c r="D12" s="419"/>
    </row>
    <row r="13" spans="1:4">
      <c r="A13" s="391" t="s">
        <v>503</v>
      </c>
      <c r="B13" s="541">
        <f>SUM(B9:B12)</f>
        <v>13794701718.52</v>
      </c>
      <c r="C13" s="541">
        <f>SUM(C9:C12)</f>
        <v>23057418880.459999</v>
      </c>
    </row>
  </sheetData>
  <mergeCells count="1">
    <mergeCell ref="B7:C7"/>
  </mergeCells>
  <hyperlinks>
    <hyperlink ref="D1" location="BG!A1" display="BG" xr:uid="{00000000-0004-0000-1400-000000000000}"/>
  </hyperlinks>
  <pageMargins left="0.7" right="0.7" top="0.75" bottom="0.75" header="0.511811023622047" footer="0.511811023622047"/>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G10"/>
  <sheetViews>
    <sheetView zoomScaleNormal="100" workbookViewId="0">
      <selection activeCell="A16" sqref="A16"/>
    </sheetView>
  </sheetViews>
  <sheetFormatPr baseColWidth="10" defaultColWidth="10.54296875" defaultRowHeight="14.5"/>
  <cols>
    <col min="1" max="1" width="48.453125" style="162" customWidth="1"/>
    <col min="2" max="3" width="22.81640625" style="162" customWidth="1"/>
    <col min="4" max="33" width="11.453125" style="162" customWidth="1"/>
  </cols>
  <sheetData>
    <row r="1" spans="1:6" ht="26">
      <c r="A1" s="428" t="str">
        <f>Indice!C1</f>
        <v>KUROSU &amp; CIA. S.A.</v>
      </c>
      <c r="F1" s="298" t="s">
        <v>23</v>
      </c>
    </row>
    <row r="4" spans="1:6">
      <c r="A4" s="212" t="s">
        <v>574</v>
      </c>
      <c r="B4" s="212"/>
      <c r="C4" s="212"/>
      <c r="D4" s="212"/>
    </row>
    <row r="6" spans="1:6">
      <c r="B6" s="765" t="s">
        <v>575</v>
      </c>
      <c r="C6" s="765"/>
    </row>
    <row r="7" spans="1:6">
      <c r="A7" s="538" t="s">
        <v>51</v>
      </c>
      <c r="B7" s="152">
        <f>IFERROR(IF(Indice!B8="","2XX2",YEAR(Indice!B8)),"2XX2")</f>
        <v>2025</v>
      </c>
      <c r="C7" s="152">
        <f>IFERROR(YEAR(Indice!B8-365),"2XX1")</f>
        <v>2024</v>
      </c>
    </row>
    <row r="8" spans="1:6">
      <c r="A8" s="162" t="s">
        <v>576</v>
      </c>
      <c r="B8" s="542">
        <f>1667452874+2218885893</f>
        <v>3886338767</v>
      </c>
      <c r="C8" s="542">
        <v>6255782493</v>
      </c>
    </row>
    <row r="9" spans="1:6">
      <c r="A9" s="162" t="s">
        <v>577</v>
      </c>
      <c r="B9" s="543">
        <v>1633728192</v>
      </c>
      <c r="C9" s="544">
        <v>1502271179</v>
      </c>
    </row>
    <row r="10" spans="1:6">
      <c r="A10" s="391" t="s">
        <v>257</v>
      </c>
      <c r="B10" s="541">
        <f>SUM(B8:B9)</f>
        <v>5520066959</v>
      </c>
      <c r="C10" s="541">
        <f>SUM(C8:C9)</f>
        <v>7758053672</v>
      </c>
    </row>
  </sheetData>
  <mergeCells count="1">
    <mergeCell ref="B6:C6"/>
  </mergeCells>
  <hyperlinks>
    <hyperlink ref="F1" location="BG!A1" display="BG" xr:uid="{00000000-0004-0000-1500-000000000000}"/>
  </hyperlinks>
  <pageMargins left="0.7" right="0.7" top="0.75" bottom="0.75" header="0.511811023622047" footer="0.511811023622047"/>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P10"/>
  <sheetViews>
    <sheetView zoomScaleNormal="100" workbookViewId="0">
      <selection activeCell="A5" sqref="A5"/>
    </sheetView>
  </sheetViews>
  <sheetFormatPr baseColWidth="10" defaultColWidth="10.54296875" defaultRowHeight="14.5"/>
  <cols>
    <col min="1" max="1" width="34.36328125" style="162" customWidth="1"/>
    <col min="2" max="3" width="22.81640625" style="162" customWidth="1"/>
    <col min="4" max="16" width="11.453125" style="162" customWidth="1"/>
  </cols>
  <sheetData>
    <row r="1" spans="1:7" ht="26">
      <c r="A1" s="428" t="str">
        <f>Indice!C1</f>
        <v>KUROSU &amp; CIA. S.A.</v>
      </c>
      <c r="G1" s="298" t="s">
        <v>23</v>
      </c>
    </row>
    <row r="5" spans="1:7">
      <c r="A5" s="212" t="s">
        <v>578</v>
      </c>
      <c r="B5" s="212"/>
      <c r="C5" s="212"/>
      <c r="D5" s="212"/>
    </row>
    <row r="6" spans="1:7" s="162" customFormat="1">
      <c r="A6" s="363"/>
      <c r="B6" s="363"/>
      <c r="C6" s="363"/>
      <c r="D6" s="363"/>
    </row>
    <row r="7" spans="1:7">
      <c r="B7" s="765" t="s">
        <v>378</v>
      </c>
      <c r="C7" s="765"/>
    </row>
    <row r="8" spans="1:7">
      <c r="A8" s="545" t="s">
        <v>53</v>
      </c>
      <c r="B8" s="152">
        <f>IFERROR(IF(Indice!B8="","2XX2",YEAR(Indice!B8)),"2XX2")</f>
        <v>2025</v>
      </c>
      <c r="C8" s="152">
        <f>IFERROR(YEAR(Indice!B8-365),"2XX1")</f>
        <v>2024</v>
      </c>
    </row>
    <row r="9" spans="1:7">
      <c r="A9" s="162" t="s">
        <v>579</v>
      </c>
      <c r="B9" s="546">
        <v>753465567</v>
      </c>
      <c r="C9" s="546">
        <v>753465567</v>
      </c>
    </row>
    <row r="10" spans="1:7">
      <c r="A10" s="391" t="s">
        <v>257</v>
      </c>
      <c r="B10" s="546">
        <f>SUM(B9:B9)</f>
        <v>753465567</v>
      </c>
      <c r="C10" s="541">
        <f>SUM($C$9:C9)</f>
        <v>753465567</v>
      </c>
    </row>
  </sheetData>
  <mergeCells count="1">
    <mergeCell ref="B7:C7"/>
  </mergeCells>
  <hyperlinks>
    <hyperlink ref="G1" location="BG!A1" display="BG" xr:uid="{00000000-0004-0000-1600-000000000000}"/>
  </hyperlinks>
  <pageMargins left="0.7" right="0.7" top="0.75" bottom="0.75" header="0.511811023622047" footer="0.511811023622047"/>
  <pageSetup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18"/>
  <sheetViews>
    <sheetView showGridLines="0" zoomScaleNormal="100" workbookViewId="0">
      <selection activeCell="C17" sqref="C17"/>
    </sheetView>
  </sheetViews>
  <sheetFormatPr baseColWidth="10" defaultColWidth="10.54296875" defaultRowHeight="14.5"/>
  <cols>
    <col min="1" max="1" width="51.1796875" customWidth="1"/>
    <col min="2" max="2" width="17.81640625" customWidth="1"/>
    <col min="3" max="3" width="14.81640625" customWidth="1"/>
    <col min="4" max="4" width="3.453125" customWidth="1"/>
    <col min="5" max="5" width="51.54296875" customWidth="1"/>
    <col min="6" max="7" width="17.1796875" customWidth="1"/>
  </cols>
  <sheetData>
    <row r="1" spans="1:7" ht="26">
      <c r="A1" s="428" t="str">
        <f>Indice!C1</f>
        <v>KUROSU &amp; CIA. S.A.</v>
      </c>
      <c r="D1" s="211" t="s">
        <v>23</v>
      </c>
    </row>
    <row r="3" spans="1:7">
      <c r="A3" s="212" t="s">
        <v>580</v>
      </c>
      <c r="B3" s="212"/>
      <c r="C3" s="212"/>
    </row>
    <row r="4" spans="1:7">
      <c r="A4" s="775" t="s">
        <v>378</v>
      </c>
      <c r="B4" s="775"/>
    </row>
    <row r="5" spans="1:7">
      <c r="A5" s="143"/>
      <c r="E5" s="143"/>
      <c r="F5" s="299"/>
      <c r="G5" s="299"/>
    </row>
    <row r="6" spans="1:7">
      <c r="A6" s="547" t="s">
        <v>429</v>
      </c>
      <c r="B6" s="366">
        <f>IFERROR(IF(Indice!B8="","2XX2",YEAR(Indice!B8)),"2XX2")</f>
        <v>2025</v>
      </c>
      <c r="C6" s="366">
        <f>IFERROR(YEAR(Indice!B8-365),"2XX1")</f>
        <v>2024</v>
      </c>
      <c r="E6" s="547" t="s">
        <v>516</v>
      </c>
      <c r="F6" s="366">
        <f>IFERROR(IF(Indice!B8="","2XX2",YEAR(Indice!B8)),"2XX2")</f>
        <v>2025</v>
      </c>
      <c r="G6" s="366">
        <f>IFERROR(YEAR(Indice!B8-365),"2XX1")</f>
        <v>2024</v>
      </c>
    </row>
    <row r="7" spans="1:7">
      <c r="A7" s="143" t="s">
        <v>581</v>
      </c>
      <c r="B7" s="548">
        <v>1511606055</v>
      </c>
      <c r="C7" s="549">
        <v>1349607041</v>
      </c>
      <c r="E7" t="s">
        <v>582</v>
      </c>
      <c r="F7" s="356">
        <v>2214900728</v>
      </c>
      <c r="G7" s="356">
        <v>2323830272</v>
      </c>
    </row>
    <row r="8" spans="1:7">
      <c r="A8" s="143" t="s">
        <v>583</v>
      </c>
      <c r="B8" s="548">
        <v>444768117</v>
      </c>
      <c r="C8" s="549">
        <v>0</v>
      </c>
      <c r="E8" s="550" t="s">
        <v>445</v>
      </c>
      <c r="F8" s="551">
        <f>F7</f>
        <v>2214900728</v>
      </c>
      <c r="G8" s="551">
        <f>G7</f>
        <v>2323830272</v>
      </c>
    </row>
    <row r="9" spans="1:7">
      <c r="A9" s="303" t="s">
        <v>584</v>
      </c>
      <c r="B9" s="548">
        <v>131126683</v>
      </c>
      <c r="C9" s="552">
        <v>151804358</v>
      </c>
      <c r="E9" s="143"/>
      <c r="F9" s="143"/>
      <c r="G9" s="143"/>
    </row>
    <row r="10" spans="1:7">
      <c r="A10" s="303" t="s">
        <v>585</v>
      </c>
      <c r="B10" s="548">
        <v>1727695924</v>
      </c>
      <c r="C10" s="552">
        <v>3847903327</v>
      </c>
    </row>
    <row r="11" spans="1:7" s="162" customFormat="1">
      <c r="A11" s="162" t="s">
        <v>582</v>
      </c>
      <c r="B11" s="548">
        <v>435718176</v>
      </c>
      <c r="C11" s="552">
        <v>435718176</v>
      </c>
    </row>
    <row r="12" spans="1:7">
      <c r="A12" s="303" t="s">
        <v>586</v>
      </c>
      <c r="B12" s="548">
        <v>18340093858</v>
      </c>
      <c r="C12" s="552">
        <v>19872756230</v>
      </c>
    </row>
    <row r="13" spans="1:7">
      <c r="A13" s="143" t="s">
        <v>587</v>
      </c>
      <c r="B13" s="548">
        <v>3411694389</v>
      </c>
      <c r="C13" s="552">
        <v>3271323705</v>
      </c>
    </row>
    <row r="14" spans="1:7">
      <c r="A14" s="550" t="s">
        <v>445</v>
      </c>
      <c r="B14" s="551">
        <f>SUM(B7:B13)</f>
        <v>26002703202</v>
      </c>
      <c r="C14" s="551">
        <f>SUM(C7:C13)</f>
        <v>28929112837</v>
      </c>
    </row>
    <row r="16" spans="1:7">
      <c r="B16" s="548"/>
    </row>
    <row r="17" spans="2:2">
      <c r="B17" s="543"/>
    </row>
    <row r="18" spans="2:2">
      <c r="B18" s="703"/>
    </row>
  </sheetData>
  <mergeCells count="1">
    <mergeCell ref="A4:B4"/>
  </mergeCells>
  <hyperlinks>
    <hyperlink ref="D1" location="BG!A1" display="BG" xr:uid="{00000000-0004-0000-1700-000000000000}"/>
  </hyperlinks>
  <printOptions horizontalCentered="1"/>
  <pageMargins left="0.70833333333333304" right="0.70833333333333304" top="0.74791666666666701" bottom="0.74791666666666701" header="0.511811023622047" footer="0.511811023622047"/>
  <pageSetup paperSize="5" scale="80"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15"/>
  <sheetViews>
    <sheetView showGridLines="0" topLeftCell="A3" zoomScaleNormal="100" workbookViewId="0">
      <selection activeCell="F13" activeCellId="1" sqref="A166:A259 F13"/>
    </sheetView>
  </sheetViews>
  <sheetFormatPr baseColWidth="10" defaultColWidth="10.54296875" defaultRowHeight="14.5"/>
  <cols>
    <col min="1" max="1" width="45" style="162" customWidth="1"/>
    <col min="2" max="3" width="22.81640625" style="162" customWidth="1"/>
    <col min="4" max="13" width="11.453125" style="162" customWidth="1"/>
  </cols>
  <sheetData>
    <row r="1" spans="1:4" ht="26">
      <c r="A1" s="428" t="str">
        <f>Indice!C1</f>
        <v>KUROSU &amp; CIA. S.A.</v>
      </c>
      <c r="D1" s="298" t="s">
        <v>23</v>
      </c>
    </row>
    <row r="4" spans="1:4">
      <c r="A4" s="769" t="s">
        <v>588</v>
      </c>
      <c r="B4" s="769"/>
      <c r="C4" s="769"/>
      <c r="D4" s="769"/>
    </row>
    <row r="6" spans="1:4">
      <c r="B6" s="765" t="s">
        <v>471</v>
      </c>
      <c r="C6" s="765"/>
    </row>
    <row r="7" spans="1:4">
      <c r="A7" s="553" t="s">
        <v>55</v>
      </c>
      <c r="B7" s="554">
        <f>IFERROR(IF(Indice!B8="","2XX2",YEAR(Indice!B8)),"2XX2")</f>
        <v>2025</v>
      </c>
      <c r="C7" s="152">
        <f>IFERROR(YEAR(Indice!B8-365),"2XX1")</f>
        <v>2024</v>
      </c>
    </row>
    <row r="8" spans="1:4">
      <c r="A8" s="555" t="s">
        <v>589</v>
      </c>
      <c r="B8" s="556">
        <v>1549219991</v>
      </c>
      <c r="C8" s="556">
        <v>1549232025</v>
      </c>
    </row>
    <row r="9" spans="1:4">
      <c r="A9" s="555" t="s">
        <v>590</v>
      </c>
      <c r="B9" s="556">
        <v>1830305294</v>
      </c>
      <c r="C9" s="556">
        <v>0</v>
      </c>
    </row>
    <row r="10" spans="1:4">
      <c r="A10" s="555" t="s">
        <v>591</v>
      </c>
      <c r="B10" s="556">
        <v>4288213428</v>
      </c>
      <c r="C10" s="556">
        <v>0</v>
      </c>
    </row>
    <row r="11" spans="1:4">
      <c r="A11" s="555" t="s">
        <v>592</v>
      </c>
      <c r="B11" s="556">
        <v>70071839</v>
      </c>
      <c r="C11" s="556">
        <v>188260957</v>
      </c>
    </row>
    <row r="12" spans="1:4">
      <c r="A12" s="555" t="s">
        <v>593</v>
      </c>
      <c r="B12" s="556">
        <v>12520349</v>
      </c>
      <c r="C12" s="556">
        <v>0</v>
      </c>
    </row>
    <row r="13" spans="1:4">
      <c r="A13" s="555" t="s">
        <v>594</v>
      </c>
      <c r="B13" s="556">
        <v>110050560</v>
      </c>
      <c r="C13" s="556">
        <v>130088907</v>
      </c>
    </row>
    <row r="14" spans="1:4">
      <c r="A14" s="555" t="s">
        <v>595</v>
      </c>
      <c r="B14" s="556">
        <v>279716965</v>
      </c>
      <c r="C14" s="556">
        <v>204661438</v>
      </c>
    </row>
    <row r="15" spans="1:4">
      <c r="A15" s="391" t="s">
        <v>257</v>
      </c>
      <c r="B15" s="541">
        <f>SUM($B$8:B14)</f>
        <v>8140098426</v>
      </c>
      <c r="C15" s="541">
        <f>SUM($C$8:C14)</f>
        <v>2072243327</v>
      </c>
    </row>
  </sheetData>
  <mergeCells count="2">
    <mergeCell ref="A4:D4"/>
    <mergeCell ref="B6:C6"/>
  </mergeCells>
  <hyperlinks>
    <hyperlink ref="D1" location="BG!A1" display="BG" xr:uid="{00000000-0004-0000-1800-000000000000}"/>
  </hyperlinks>
  <pageMargins left="0.7" right="0.7" top="0.75" bottom="0.75" header="0.511811023622047" footer="0.511811023622047"/>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D11"/>
  <sheetViews>
    <sheetView showGridLines="0" zoomScaleNormal="100" workbookViewId="0">
      <selection activeCell="C15" activeCellId="1" sqref="A166:A259 C15"/>
    </sheetView>
  </sheetViews>
  <sheetFormatPr baseColWidth="10" defaultColWidth="10.54296875" defaultRowHeight="14.5"/>
  <cols>
    <col min="1" max="1" width="38.1796875" customWidth="1"/>
    <col min="2" max="2" width="19.54296875" customWidth="1"/>
    <col min="3" max="3" width="17.81640625" customWidth="1"/>
    <col min="4" max="4" width="15.453125" customWidth="1"/>
    <col min="5" max="5" width="10.81640625" customWidth="1"/>
    <col min="6" max="6" width="33.54296875" customWidth="1"/>
    <col min="7" max="7" width="1.1796875" customWidth="1"/>
    <col min="9" max="9" width="1.1796875" customWidth="1"/>
    <col min="10" max="10" width="18.1796875" customWidth="1"/>
    <col min="11" max="11" width="1.1796875" customWidth="1"/>
    <col min="12" max="12" width="13.1796875" customWidth="1"/>
  </cols>
  <sheetData>
    <row r="1" spans="1:4" ht="26">
      <c r="A1" s="428" t="str">
        <f>Indice!C1</f>
        <v>KUROSU &amp; CIA. S.A.</v>
      </c>
      <c r="D1" s="211" t="s">
        <v>23</v>
      </c>
    </row>
    <row r="4" spans="1:4">
      <c r="A4" s="769" t="s">
        <v>596</v>
      </c>
      <c r="B4" s="769"/>
      <c r="C4" s="769"/>
      <c r="D4" s="769"/>
    </row>
    <row r="5" spans="1:4">
      <c r="A5" s="775" t="s">
        <v>378</v>
      </c>
      <c r="B5" s="775"/>
    </row>
    <row r="6" spans="1:4">
      <c r="A6" s="133" t="s">
        <v>597</v>
      </c>
      <c r="B6" s="366">
        <f>IFERROR(IF(Indice!B8="","2XX2",YEAR(Indice!B8)),"2XX2")</f>
        <v>2025</v>
      </c>
      <c r="C6" s="366">
        <f>IFERROR(YEAR(Indice!B8-365),"2XX1")</f>
        <v>2024</v>
      </c>
    </row>
    <row r="7" spans="1:4">
      <c r="A7" t="s">
        <v>598</v>
      </c>
      <c r="B7" s="420">
        <v>500000000000</v>
      </c>
      <c r="C7" s="557">
        <v>500000000000</v>
      </c>
    </row>
    <row r="8" spans="1:4">
      <c r="A8" t="s">
        <v>599</v>
      </c>
      <c r="B8" s="420">
        <v>500000000000</v>
      </c>
      <c r="C8" s="557">
        <v>500000000000</v>
      </c>
    </row>
    <row r="9" spans="1:4">
      <c r="A9" s="133" t="s">
        <v>600</v>
      </c>
      <c r="B9" s="537">
        <v>50000</v>
      </c>
      <c r="C9" s="508">
        <v>50000</v>
      </c>
    </row>
    <row r="10" spans="1:4">
      <c r="A10" s="558" t="s">
        <v>601</v>
      </c>
      <c r="B10" s="559">
        <v>10000000</v>
      </c>
      <c r="C10" s="560">
        <v>10000000</v>
      </c>
    </row>
    <row r="11" spans="1:4">
      <c r="A11" s="133" t="s">
        <v>257</v>
      </c>
      <c r="B11" s="561">
        <f>+B8</f>
        <v>500000000000</v>
      </c>
      <c r="C11" s="561">
        <f>+C8</f>
        <v>500000000000</v>
      </c>
    </row>
  </sheetData>
  <mergeCells count="2">
    <mergeCell ref="A4:D4"/>
    <mergeCell ref="A5:B5"/>
  </mergeCells>
  <hyperlinks>
    <hyperlink ref="D1" location="BG!A1" display="BG" xr:uid="{00000000-0004-0000-1900-000000000000}"/>
  </hyperlinks>
  <pageMargins left="0.70833333333333304" right="0.70833333333333304" top="0.74791666666666701" bottom="0.74791666666666701" header="0.511811023622047" footer="0.511811023622047"/>
  <pageSetup paperSize="9" scale="80"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O22"/>
  <sheetViews>
    <sheetView showGridLines="0" zoomScaleNormal="100" workbookViewId="0">
      <selection activeCell="C12" activeCellId="1" sqref="A166:A259 C12"/>
    </sheetView>
  </sheetViews>
  <sheetFormatPr baseColWidth="10" defaultColWidth="10.54296875" defaultRowHeight="14.5"/>
  <cols>
    <col min="1" max="1" width="24.81640625" style="162" customWidth="1"/>
    <col min="2" max="2" width="18.54296875" style="162" customWidth="1"/>
    <col min="3" max="3" width="16.81640625" style="162" customWidth="1"/>
    <col min="4" max="15" width="11.453125" style="162" customWidth="1"/>
  </cols>
  <sheetData>
    <row r="1" spans="1:6" ht="26">
      <c r="A1" s="428" t="str">
        <f>Indice!C1</f>
        <v>KUROSU &amp; CIA. S.A.</v>
      </c>
      <c r="F1" s="298" t="s">
        <v>23</v>
      </c>
    </row>
    <row r="4" spans="1:6">
      <c r="A4" s="769" t="s">
        <v>602</v>
      </c>
      <c r="B4" s="769"/>
      <c r="C4" s="769"/>
      <c r="D4" s="769"/>
      <c r="E4" s="769"/>
      <c r="F4" s="769"/>
    </row>
    <row r="6" spans="1:6">
      <c r="B6" s="765" t="s">
        <v>378</v>
      </c>
      <c r="C6" s="765"/>
    </row>
    <row r="7" spans="1:6">
      <c r="B7" s="366">
        <f>IFERROR(IF(Indice!B8="","2XX2",YEAR(Indice!B8)),"2XX2")</f>
        <v>2025</v>
      </c>
      <c r="C7" s="366">
        <f>IFERROR(YEAR(Indice!B8-365),"2XX1")</f>
        <v>2024</v>
      </c>
    </row>
    <row r="8" spans="1:6">
      <c r="A8" s="562" t="s">
        <v>603</v>
      </c>
      <c r="B8" s="563">
        <v>13806379440</v>
      </c>
      <c r="C8" s="563">
        <v>13806379440</v>
      </c>
    </row>
    <row r="9" spans="1:6">
      <c r="A9" s="391"/>
    </row>
    <row r="10" spans="1:6">
      <c r="A10" s="391"/>
    </row>
    <row r="11" spans="1:6">
      <c r="A11" s="391"/>
    </row>
    <row r="12" spans="1:6">
      <c r="A12" s="562" t="s">
        <v>604</v>
      </c>
      <c r="B12" s="563">
        <v>47176786778</v>
      </c>
      <c r="C12" s="563">
        <v>47176786778</v>
      </c>
    </row>
    <row r="13" spans="1:6">
      <c r="A13" s="391"/>
    </row>
    <row r="14" spans="1:6">
      <c r="A14" s="391"/>
    </row>
    <row r="15" spans="1:6">
      <c r="A15" s="391"/>
    </row>
    <row r="16" spans="1:6">
      <c r="A16" s="562" t="s">
        <v>605</v>
      </c>
      <c r="B16" s="513"/>
      <c r="C16" s="513"/>
    </row>
    <row r="20" spans="1:3">
      <c r="A20" s="562" t="s">
        <v>606</v>
      </c>
      <c r="B20" s="513">
        <f>+SUM($B$21:B26)</f>
        <v>0</v>
      </c>
      <c r="C20" s="513">
        <f>+SUM($C$21:C26)</f>
        <v>0</v>
      </c>
    </row>
    <row r="21" spans="1:3">
      <c r="A21" s="162" t="s">
        <v>607</v>
      </c>
      <c r="B21" s="162">
        <v>0</v>
      </c>
      <c r="C21" s="162">
        <v>0</v>
      </c>
    </row>
    <row r="22" spans="1:3">
      <c r="A22" s="162" t="s">
        <v>608</v>
      </c>
      <c r="B22" s="162">
        <v>0</v>
      </c>
      <c r="C22" s="162">
        <v>0</v>
      </c>
    </row>
  </sheetData>
  <mergeCells count="2">
    <mergeCell ref="A4:F4"/>
    <mergeCell ref="B6:C6"/>
  </mergeCells>
  <hyperlinks>
    <hyperlink ref="F1" location="BG!A1" display="BG" xr:uid="{00000000-0004-0000-1A00-000000000000}"/>
  </hyperlinks>
  <pageMargins left="0.7" right="0.7" top="0.75" bottom="0.75" header="0.511811023622047" footer="0.511811023622047"/>
  <pageSetup paperSize="9" orientation="portrait"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Y9"/>
  <sheetViews>
    <sheetView zoomScaleNormal="100" workbookViewId="0">
      <selection activeCell="E15" activeCellId="1" sqref="A166:A259 E15"/>
    </sheetView>
  </sheetViews>
  <sheetFormatPr baseColWidth="10" defaultColWidth="10.54296875" defaultRowHeight="14.5"/>
  <cols>
    <col min="1" max="1" width="34.453125" style="162" customWidth="1"/>
    <col min="2" max="3" width="19" style="162" customWidth="1"/>
    <col min="4" max="25" width="11.453125" style="162" customWidth="1"/>
  </cols>
  <sheetData>
    <row r="1" spans="1:6" ht="26">
      <c r="A1" s="428" t="str">
        <f>Indice!C1</f>
        <v>KUROSU &amp; CIA. S.A.</v>
      </c>
      <c r="F1" s="298" t="s">
        <v>23</v>
      </c>
    </row>
    <row r="4" spans="1:6">
      <c r="A4" s="212" t="s">
        <v>609</v>
      </c>
      <c r="B4" s="212"/>
      <c r="C4" s="212"/>
      <c r="D4" s="212"/>
      <c r="E4" s="272"/>
      <c r="F4" s="163"/>
    </row>
    <row r="6" spans="1:6">
      <c r="B6" s="765" t="s">
        <v>378</v>
      </c>
      <c r="C6" s="765"/>
    </row>
    <row r="7" spans="1:6">
      <c r="B7" s="366">
        <f>IFERROR(IF(Indice!B8="","2XX2",YEAR(Indice!B8)),"2XX2")</f>
        <v>2025</v>
      </c>
      <c r="C7" s="366">
        <f>+IFERROR(YEAR(Indice!B8-365),"2XX1")</f>
        <v>2024</v>
      </c>
    </row>
    <row r="8" spans="1:6">
      <c r="A8" s="391" t="s">
        <v>68</v>
      </c>
      <c r="B8" s="562">
        <v>0</v>
      </c>
      <c r="C8" s="562">
        <v>0</v>
      </c>
    </row>
    <row r="9" spans="1:6">
      <c r="A9" s="391" t="s">
        <v>496</v>
      </c>
      <c r="B9" s="391">
        <v>0</v>
      </c>
      <c r="C9" s="391">
        <v>0</v>
      </c>
    </row>
  </sheetData>
  <mergeCells count="1">
    <mergeCell ref="B6:C6"/>
  </mergeCells>
  <hyperlinks>
    <hyperlink ref="F1" location="BG!A1" display="BG" xr:uid="{00000000-0004-0000-1B00-000000000000}"/>
  </hyperlinks>
  <pageMargins left="0.7" right="0.7" top="0.75" bottom="0.75" header="0.511811023622047" footer="0.511811023622047"/>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F10"/>
  <sheetViews>
    <sheetView topLeftCell="A6" zoomScaleNormal="100" workbookViewId="0">
      <selection activeCell="C16" activeCellId="1" sqref="A166:A259 C16"/>
    </sheetView>
  </sheetViews>
  <sheetFormatPr baseColWidth="10" defaultColWidth="10.54296875" defaultRowHeight="14.5"/>
  <cols>
    <col min="1" max="1" width="59.453125" style="162" customWidth="1"/>
    <col min="2" max="3" width="19" style="162" customWidth="1"/>
    <col min="4" max="4" width="15.54296875" style="162" customWidth="1"/>
    <col min="5" max="32" width="11.453125" style="162" customWidth="1"/>
  </cols>
  <sheetData>
    <row r="1" spans="1:6" ht="26">
      <c r="A1" s="428" t="str">
        <f>Indice!C1</f>
        <v>KUROSU &amp; CIA. S.A.</v>
      </c>
      <c r="F1" s="298" t="s">
        <v>23</v>
      </c>
    </row>
    <row r="4" spans="1:6">
      <c r="A4" s="212" t="s">
        <v>610</v>
      </c>
      <c r="B4" s="212"/>
      <c r="C4" s="212"/>
      <c r="D4" s="212"/>
      <c r="E4" s="212"/>
      <c r="F4" s="212"/>
    </row>
    <row r="6" spans="1:6">
      <c r="B6" s="765" t="s">
        <v>471</v>
      </c>
      <c r="C6" s="765"/>
    </row>
    <row r="7" spans="1:6">
      <c r="A7" s="212" t="s">
        <v>611</v>
      </c>
      <c r="B7" s="366">
        <f>IFERROR(IF(Indice!B8="","2XX2",YEAR(Indice!B8)),"2XX2")</f>
        <v>2025</v>
      </c>
      <c r="C7" s="366">
        <f>+IFERROR(YEAR(Indice!B8-365),"2XX1")</f>
        <v>2024</v>
      </c>
    </row>
    <row r="8" spans="1:6">
      <c r="A8" s="162" t="s">
        <v>612</v>
      </c>
      <c r="B8" s="544">
        <v>104909231188</v>
      </c>
      <c r="C8" s="544">
        <v>0</v>
      </c>
    </row>
    <row r="9" spans="1:6">
      <c r="A9" s="162" t="s">
        <v>613</v>
      </c>
      <c r="B9" s="300">
        <v>34775800568</v>
      </c>
      <c r="C9" s="544">
        <v>104909231188</v>
      </c>
    </row>
    <row r="10" spans="1:6">
      <c r="A10" s="391" t="s">
        <v>496</v>
      </c>
      <c r="B10" s="541">
        <f>SUM($B$8:B9)</f>
        <v>139685031756</v>
      </c>
      <c r="C10" s="541">
        <f>SUM($C$8:C9)</f>
        <v>104909231188</v>
      </c>
    </row>
  </sheetData>
  <mergeCells count="1">
    <mergeCell ref="B6:C6"/>
  </mergeCells>
  <hyperlinks>
    <hyperlink ref="F1" location="BG!A1" display="BG" xr:uid="{00000000-0004-0000-1C00-000000000000}"/>
  </hyperlink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82"/>
  <sheetViews>
    <sheetView showGridLines="0" topLeftCell="A42" zoomScaleNormal="100" workbookViewId="0">
      <selection activeCell="I58" sqref="I58"/>
    </sheetView>
  </sheetViews>
  <sheetFormatPr baseColWidth="10" defaultColWidth="11.453125" defaultRowHeight="14.5"/>
  <cols>
    <col min="1" max="1" width="2.1796875" style="61" customWidth="1"/>
    <col min="2" max="2" width="2" style="61" customWidth="1"/>
    <col min="3" max="3" width="2.1796875" style="61" customWidth="1"/>
    <col min="4" max="4" width="51.81640625" style="61" customWidth="1"/>
    <col min="5" max="5" width="10.1796875" style="62" customWidth="1"/>
    <col min="6" max="7" width="21.81640625" style="61" customWidth="1"/>
    <col min="8" max="8" width="11.453125" style="61"/>
    <col min="9" max="9" width="17.81640625" style="61" customWidth="1"/>
    <col min="10" max="1024" width="11.453125" style="61"/>
  </cols>
  <sheetData>
    <row r="1" spans="1:10">
      <c r="D1" s="63" t="str">
        <f>Indice!C1</f>
        <v>KUROSU &amp; CIA. S.A.</v>
      </c>
      <c r="E1" s="64" t="s">
        <v>116</v>
      </c>
    </row>
    <row r="3" spans="1:10">
      <c r="F3" s="65"/>
    </row>
    <row r="6" spans="1:10">
      <c r="G6" s="66"/>
    </row>
    <row r="7" spans="1:10">
      <c r="A7" s="712" t="s">
        <v>209</v>
      </c>
      <c r="B7" s="712"/>
      <c r="C7" s="712"/>
      <c r="D7" s="712"/>
      <c r="E7" s="712"/>
      <c r="F7" s="712"/>
      <c r="G7" s="712"/>
    </row>
    <row r="8" spans="1:10" ht="15" customHeight="1">
      <c r="A8" s="712" t="str">
        <f>IFERROR(IF(Indice!B8="","Al dia... de mes… de año 2XX2…","Al "&amp;DAY(Indice!B8)&amp;" de "&amp;VLOOKUP(MONTH(Indice!B8),Indice!S:T,2,0)&amp;" de "&amp;YEAR(Indice!B8)),"Al dia... de mes… de año 2XX2…")&amp; " En Forma Comparativa al 31 de Diciembre de 2.024"</f>
        <v>Al 31 de Marzo de 2025 En Forma Comparativa al 31 de Diciembre de 2.024</v>
      </c>
      <c r="B8" s="712"/>
      <c r="C8" s="712"/>
      <c r="D8" s="712"/>
      <c r="E8" s="712"/>
      <c r="F8" s="712"/>
      <c r="G8" s="712"/>
    </row>
    <row r="9" spans="1:10">
      <c r="A9" s="713" t="s">
        <v>210</v>
      </c>
      <c r="B9" s="713"/>
      <c r="C9" s="713"/>
      <c r="D9" s="713"/>
      <c r="E9" s="713"/>
      <c r="F9" s="713"/>
      <c r="G9" s="713"/>
    </row>
    <row r="10" spans="1:10">
      <c r="A10" s="67"/>
      <c r="B10" s="67"/>
      <c r="C10" s="67"/>
      <c r="D10" s="67"/>
      <c r="E10" s="68"/>
      <c r="F10" s="67"/>
      <c r="G10" s="67"/>
    </row>
    <row r="11" spans="1:10" ht="15.5">
      <c r="A11" s="67"/>
      <c r="B11" s="69"/>
      <c r="C11" s="69"/>
      <c r="D11" s="69"/>
      <c r="E11" s="70" t="s">
        <v>211</v>
      </c>
      <c r="F11" s="70">
        <f>IFERROR(IF(Indice!B8="","2XX2",YEAR(Indice!B8)),"2XX2")</f>
        <v>2025</v>
      </c>
      <c r="G11" s="70">
        <f>IFERROR(YEAR(Indice!B8-365),"2XX1")</f>
        <v>2024</v>
      </c>
    </row>
    <row r="12" spans="1:10" ht="15.5">
      <c r="B12" s="714" t="s">
        <v>212</v>
      </c>
      <c r="C12" s="714"/>
      <c r="D12" s="714"/>
      <c r="E12" s="71"/>
    </row>
    <row r="13" spans="1:10">
      <c r="A13" s="67"/>
      <c r="B13" s="72" t="s">
        <v>213</v>
      </c>
      <c r="C13" s="73"/>
      <c r="D13" s="73"/>
      <c r="E13" s="74"/>
      <c r="F13" s="75"/>
      <c r="G13" s="76"/>
    </row>
    <row r="14" spans="1:10">
      <c r="A14" s="67"/>
      <c r="B14" s="73"/>
      <c r="C14" s="715" t="s">
        <v>25</v>
      </c>
      <c r="D14" s="715"/>
      <c r="E14" s="77">
        <v>3</v>
      </c>
      <c r="F14" s="78">
        <f>'Nota 3'!C17</f>
        <v>63306204057</v>
      </c>
      <c r="G14" s="78">
        <f>'Nota 3'!D17</f>
        <v>26764302638</v>
      </c>
      <c r="J14" s="66"/>
    </row>
    <row r="15" spans="1:10">
      <c r="A15" s="67"/>
      <c r="B15" s="73"/>
      <c r="C15" s="715" t="s">
        <v>27</v>
      </c>
      <c r="D15" s="715"/>
      <c r="E15" s="77">
        <v>4</v>
      </c>
      <c r="F15" s="78">
        <f>'Nota 4'!B15</f>
        <v>52105865683</v>
      </c>
      <c r="G15" s="78">
        <f>'Nota 4'!C15</f>
        <v>52033698380</v>
      </c>
    </row>
    <row r="16" spans="1:10">
      <c r="A16" s="67"/>
      <c r="B16" s="73"/>
      <c r="C16" s="715" t="s">
        <v>29</v>
      </c>
      <c r="D16" s="715"/>
      <c r="E16" s="77">
        <v>5</v>
      </c>
      <c r="F16" s="78">
        <f>'Nota 5'!C21</f>
        <v>291243274127</v>
      </c>
      <c r="G16" s="78">
        <f>'Nota 5'!D21</f>
        <v>293919921209</v>
      </c>
    </row>
    <row r="17" spans="1:9">
      <c r="A17" s="79"/>
      <c r="B17" s="73"/>
      <c r="C17" s="715" t="s">
        <v>31</v>
      </c>
      <c r="D17" s="715"/>
      <c r="E17" s="77">
        <v>6</v>
      </c>
      <c r="F17" s="78">
        <f>'Nota 6'!B20</f>
        <v>39138035778</v>
      </c>
      <c r="G17" s="78">
        <f>'Nota 6'!C20</f>
        <v>88768934064</v>
      </c>
    </row>
    <row r="18" spans="1:9">
      <c r="A18" s="67"/>
      <c r="B18" s="73"/>
      <c r="C18" s="715" t="s">
        <v>33</v>
      </c>
      <c r="D18" s="715"/>
      <c r="E18" s="77">
        <v>7</v>
      </c>
      <c r="F18" s="78">
        <f>'Nota 7'!B11</f>
        <v>696283136224</v>
      </c>
      <c r="G18" s="78">
        <f>'Nota 7'!C11</f>
        <v>723932869901</v>
      </c>
    </row>
    <row r="19" spans="1:9">
      <c r="A19" s="67"/>
      <c r="B19" s="73"/>
      <c r="C19" s="72" t="s">
        <v>214</v>
      </c>
      <c r="D19" s="73"/>
      <c r="E19" s="74"/>
      <c r="F19" s="80">
        <f>SUM(F14:F18)</f>
        <v>1142076515869</v>
      </c>
      <c r="G19" s="80">
        <f>SUM(G14:G18)</f>
        <v>1185419726192</v>
      </c>
      <c r="I19" s="66"/>
    </row>
    <row r="20" spans="1:9">
      <c r="A20" s="67"/>
      <c r="B20" s="72" t="s">
        <v>215</v>
      </c>
      <c r="C20" s="73"/>
      <c r="D20" s="73"/>
      <c r="E20" s="74"/>
      <c r="F20" s="75"/>
      <c r="G20" s="76"/>
      <c r="I20" s="66"/>
    </row>
    <row r="21" spans="1:9">
      <c r="A21" s="67"/>
      <c r="B21" s="73"/>
      <c r="C21" s="715" t="s">
        <v>216</v>
      </c>
      <c r="D21" s="715"/>
      <c r="E21" s="77">
        <v>6</v>
      </c>
      <c r="F21" s="78">
        <f>'Nota 6'!F13</f>
        <v>4151132285</v>
      </c>
      <c r="G21" s="81">
        <f>'Nota 6'!G13</f>
        <v>3428340065</v>
      </c>
    </row>
    <row r="22" spans="1:9">
      <c r="A22" s="67"/>
      <c r="B22" s="73"/>
      <c r="C22" s="1" t="s">
        <v>29</v>
      </c>
      <c r="D22" s="1"/>
      <c r="E22" s="77">
        <v>5</v>
      </c>
      <c r="F22" s="78">
        <f>'Nota 5'!C33</f>
        <v>82389850820</v>
      </c>
      <c r="G22" s="81">
        <f>'Nota 5'!D33</f>
        <v>74237801042</v>
      </c>
    </row>
    <row r="23" spans="1:9">
      <c r="A23" s="67"/>
      <c r="B23" s="73"/>
      <c r="C23" s="715" t="s">
        <v>35</v>
      </c>
      <c r="D23" s="715"/>
      <c r="E23" s="77">
        <v>8</v>
      </c>
      <c r="F23" s="78">
        <f>'Nota 8'!B8</f>
        <v>250000000</v>
      </c>
      <c r="G23" s="76">
        <f>'Nota 8'!C8</f>
        <v>250000000</v>
      </c>
    </row>
    <row r="24" spans="1:9">
      <c r="A24" s="67"/>
      <c r="B24" s="73"/>
      <c r="C24" s="715" t="s">
        <v>217</v>
      </c>
      <c r="D24" s="715"/>
      <c r="E24" s="77">
        <v>9</v>
      </c>
      <c r="F24" s="78">
        <f>'Nota 9'!L27</f>
        <v>105906296462</v>
      </c>
      <c r="G24" s="76">
        <f>'Nota 9'!M27</f>
        <v>106111946448.8224</v>
      </c>
    </row>
    <row r="25" spans="1:9">
      <c r="A25" s="67"/>
      <c r="B25" s="73"/>
      <c r="C25" s="715" t="s">
        <v>39</v>
      </c>
      <c r="D25" s="715"/>
      <c r="E25" s="77">
        <v>10</v>
      </c>
      <c r="F25" s="78">
        <v>0</v>
      </c>
      <c r="G25" s="76">
        <f>'Nota 10'!C16</f>
        <v>0</v>
      </c>
    </row>
    <row r="26" spans="1:9">
      <c r="A26" s="67"/>
      <c r="B26" s="73"/>
      <c r="C26" s="715" t="s">
        <v>41</v>
      </c>
      <c r="D26" s="715"/>
      <c r="E26" s="77">
        <v>11</v>
      </c>
      <c r="F26" s="78">
        <f>'Nota 11'!B8</f>
        <v>0</v>
      </c>
      <c r="G26" s="76">
        <f>'Nota 11'!C8</f>
        <v>0</v>
      </c>
    </row>
    <row r="27" spans="1:9">
      <c r="A27" s="67"/>
      <c r="B27" s="73"/>
      <c r="C27" s="715" t="s">
        <v>43</v>
      </c>
      <c r="D27" s="715"/>
      <c r="E27" s="77">
        <v>12</v>
      </c>
      <c r="F27" s="78">
        <f>'Nota 12'!B9</f>
        <v>0</v>
      </c>
      <c r="G27" s="76">
        <f>'Nota 12'!C9</f>
        <v>0</v>
      </c>
    </row>
    <row r="28" spans="1:9">
      <c r="A28" s="67"/>
      <c r="B28" s="73"/>
      <c r="C28" s="714" t="s">
        <v>218</v>
      </c>
      <c r="D28" s="714"/>
      <c r="E28" s="74"/>
      <c r="F28" s="80">
        <f>SUM(F21:F27)</f>
        <v>192697279567</v>
      </c>
      <c r="G28" s="80">
        <f>G24+G23+G22+G21</f>
        <v>184028087555.82239</v>
      </c>
    </row>
    <row r="29" spans="1:9" ht="15.5">
      <c r="A29" s="67"/>
      <c r="B29" s="716" t="s">
        <v>219</v>
      </c>
      <c r="C29" s="716"/>
      <c r="D29" s="716"/>
      <c r="E29" s="82"/>
      <c r="F29" s="83">
        <f>+F19+F28</f>
        <v>1334773795436</v>
      </c>
      <c r="G29" s="84">
        <f>+G19+G28</f>
        <v>1369447813747.8223</v>
      </c>
    </row>
    <row r="30" spans="1:9" ht="15.5">
      <c r="B30" s="716" t="s">
        <v>220</v>
      </c>
      <c r="C30" s="716"/>
      <c r="D30" s="716"/>
      <c r="E30" s="71"/>
      <c r="F30" s="85"/>
      <c r="G30" s="85"/>
    </row>
    <row r="31" spans="1:9">
      <c r="A31" s="67"/>
      <c r="B31" s="72" t="s">
        <v>221</v>
      </c>
      <c r="C31" s="73"/>
      <c r="D31" s="73"/>
      <c r="E31" s="74"/>
      <c r="F31" s="86">
        <v>-1</v>
      </c>
      <c r="G31" s="76"/>
    </row>
    <row r="32" spans="1:9">
      <c r="A32" s="67"/>
      <c r="B32" s="73"/>
      <c r="C32" s="715" t="s">
        <v>45</v>
      </c>
      <c r="D32" s="715"/>
      <c r="E32" s="77">
        <v>13</v>
      </c>
      <c r="F32" s="78">
        <f>'Nota 13'!D15</f>
        <v>152260337022</v>
      </c>
      <c r="G32" s="76">
        <f>'Nota 13'!E15</f>
        <v>112700609401</v>
      </c>
    </row>
    <row r="33" spans="1:9">
      <c r="A33" s="67"/>
      <c r="B33" s="73"/>
      <c r="C33" s="717" t="s">
        <v>222</v>
      </c>
      <c r="D33" s="717"/>
      <c r="E33" s="77">
        <v>14</v>
      </c>
      <c r="F33" s="78">
        <f>'Nota 14'!E278-F34</f>
        <v>339311304918.55994</v>
      </c>
      <c r="G33" s="76">
        <f>'Nota 14'!K278-G34</f>
        <v>430831977922.96985</v>
      </c>
    </row>
    <row r="34" spans="1:9">
      <c r="A34" s="67"/>
      <c r="B34" s="73"/>
      <c r="C34" s="715" t="s">
        <v>49</v>
      </c>
      <c r="D34" s="715"/>
      <c r="E34" s="77">
        <v>15</v>
      </c>
      <c r="F34" s="78">
        <f>'Nota 15'!B13</f>
        <v>13794701718.52</v>
      </c>
      <c r="G34" s="76">
        <f>'Nota 15'!C13</f>
        <v>23057418880.459999</v>
      </c>
    </row>
    <row r="35" spans="1:9">
      <c r="A35" s="67"/>
      <c r="B35" s="73"/>
      <c r="C35" s="715" t="s">
        <v>51</v>
      </c>
      <c r="D35" s="715"/>
      <c r="E35" s="77">
        <v>16</v>
      </c>
      <c r="F35" s="78">
        <f>'Nota 16'!B10</f>
        <v>5520066959</v>
      </c>
      <c r="G35" s="76">
        <f>'Nota 16'!C10</f>
        <v>7758053672</v>
      </c>
    </row>
    <row r="36" spans="1:9">
      <c r="A36" s="67"/>
      <c r="B36" s="73"/>
      <c r="C36" s="715" t="s">
        <v>53</v>
      </c>
      <c r="D36" s="715"/>
      <c r="E36" s="77">
        <v>17</v>
      </c>
      <c r="F36" s="78">
        <f>'Nota 17'!B10</f>
        <v>753465567</v>
      </c>
      <c r="G36" s="76">
        <f>'Nota 17'!C10</f>
        <v>753465567</v>
      </c>
    </row>
    <row r="37" spans="1:9">
      <c r="A37" s="67"/>
      <c r="B37" s="73"/>
      <c r="C37" s="715" t="s">
        <v>55</v>
      </c>
      <c r="D37" s="715"/>
      <c r="E37" s="77">
        <v>18</v>
      </c>
      <c r="F37" s="78">
        <f>'Nota 18'!B15</f>
        <v>8140098426</v>
      </c>
      <c r="G37" s="76">
        <f>'Nota 18'!C15</f>
        <v>2072243327</v>
      </c>
    </row>
    <row r="38" spans="1:9">
      <c r="A38" s="67"/>
      <c r="B38" s="73"/>
      <c r="C38" s="715" t="s">
        <v>57</v>
      </c>
      <c r="D38" s="715"/>
      <c r="E38" s="77">
        <v>19</v>
      </c>
      <c r="F38" s="78">
        <f>'Nota 19'!B14</f>
        <v>26002703202</v>
      </c>
      <c r="G38" s="76">
        <f>'Nota 19'!C14</f>
        <v>28929112837</v>
      </c>
    </row>
    <row r="39" spans="1:9" ht="13.5" customHeight="1">
      <c r="A39" s="67"/>
      <c r="B39" s="73"/>
      <c r="C39" s="72" t="s">
        <v>223</v>
      </c>
      <c r="D39" s="73"/>
      <c r="E39" s="74"/>
      <c r="F39" s="80">
        <f>SUM(F32:F38)</f>
        <v>545782677813.07996</v>
      </c>
      <c r="G39" s="80">
        <f>SUM(G32:G38)</f>
        <v>606102881607.42981</v>
      </c>
      <c r="I39" s="66"/>
    </row>
    <row r="40" spans="1:9">
      <c r="A40" s="67"/>
      <c r="B40" s="72" t="s">
        <v>224</v>
      </c>
      <c r="C40" s="73"/>
      <c r="D40" s="73"/>
      <c r="E40" s="74"/>
      <c r="F40" s="75"/>
      <c r="G40" s="75"/>
      <c r="I40" s="702"/>
    </row>
    <row r="41" spans="1:9">
      <c r="A41" s="67"/>
      <c r="B41" s="73"/>
      <c r="C41" s="715" t="s">
        <v>225</v>
      </c>
      <c r="D41" s="715"/>
      <c r="E41" s="77">
        <v>14</v>
      </c>
      <c r="F41" s="78">
        <f>'Nota 14'!E389</f>
        <v>86108018920.799957</v>
      </c>
      <c r="G41" s="76">
        <f>'Nota 14'!K389</f>
        <v>95128704463.209976</v>
      </c>
    </row>
    <row r="42" spans="1:9">
      <c r="A42" s="67"/>
      <c r="B42" s="73"/>
      <c r="C42" s="715" t="s">
        <v>226</v>
      </c>
      <c r="D42" s="715"/>
      <c r="E42" s="77">
        <v>19</v>
      </c>
      <c r="F42" s="78">
        <f>'Nota 13'!D21+'Nota 19'!F8</f>
        <v>2214900728</v>
      </c>
      <c r="G42" s="76">
        <f>'Nota 13'!E21+'Nota 19'!G8</f>
        <v>2323830272</v>
      </c>
    </row>
    <row r="43" spans="1:9">
      <c r="A43" s="67"/>
      <c r="B43" s="73"/>
      <c r="C43" s="72" t="s">
        <v>227</v>
      </c>
      <c r="D43" s="73"/>
      <c r="E43" s="74"/>
      <c r="F43" s="80">
        <f>F42+F41</f>
        <v>88322919648.799957</v>
      </c>
      <c r="G43" s="80">
        <f>SUM(G41:G42)</f>
        <v>97452534735.209976</v>
      </c>
    </row>
    <row r="44" spans="1:9" ht="6" customHeight="1">
      <c r="A44" s="67"/>
      <c r="B44" s="73"/>
      <c r="C44" s="73"/>
      <c r="D44" s="87"/>
      <c r="E44" s="88"/>
      <c r="F44" s="89"/>
      <c r="G44" s="76"/>
    </row>
    <row r="45" spans="1:9" ht="15.5">
      <c r="A45" s="67"/>
      <c r="B45" s="716" t="s">
        <v>228</v>
      </c>
      <c r="C45" s="716"/>
      <c r="D45" s="716"/>
      <c r="E45" s="90"/>
      <c r="F45" s="83">
        <f>F43+F39</f>
        <v>634105597461.87988</v>
      </c>
      <c r="G45" s="83">
        <f>G43+G39-1</f>
        <v>703555416341.63977</v>
      </c>
    </row>
    <row r="46" spans="1:9" ht="15.5">
      <c r="B46" s="716" t="s">
        <v>229</v>
      </c>
      <c r="C46" s="716"/>
      <c r="D46" s="716"/>
      <c r="E46" s="71"/>
      <c r="F46" s="91"/>
      <c r="G46" s="91"/>
    </row>
    <row r="47" spans="1:9">
      <c r="A47" s="67"/>
      <c r="B47" s="73"/>
      <c r="C47" s="715" t="s">
        <v>61</v>
      </c>
      <c r="D47" s="715"/>
      <c r="E47" s="77">
        <v>20</v>
      </c>
      <c r="F47" s="78">
        <f>'Nota 20'!B11</f>
        <v>500000000000</v>
      </c>
      <c r="G47" s="78">
        <f>'Nota 20'!C11</f>
        <v>500000000000</v>
      </c>
    </row>
    <row r="48" spans="1:9">
      <c r="A48" s="67"/>
      <c r="B48" s="73"/>
      <c r="C48" s="715" t="s">
        <v>63</v>
      </c>
      <c r="D48" s="715"/>
      <c r="E48" s="64">
        <v>21</v>
      </c>
      <c r="F48" s="78">
        <f>' Nota 21'!B8</f>
        <v>13806379440</v>
      </c>
      <c r="G48" s="78">
        <f>' Nota 21'!C8</f>
        <v>13806379440</v>
      </c>
    </row>
    <row r="49" spans="1:7">
      <c r="A49" s="79"/>
      <c r="B49" s="73"/>
      <c r="C49" s="715" t="s">
        <v>65</v>
      </c>
      <c r="D49" s="715"/>
      <c r="E49" s="64">
        <v>21</v>
      </c>
      <c r="F49" s="78">
        <f>' Nota 21'!B12</f>
        <v>47176786778</v>
      </c>
      <c r="G49" s="78">
        <f>' Nota 21'!C12</f>
        <v>47176786778</v>
      </c>
    </row>
    <row r="50" spans="1:7">
      <c r="A50" s="67"/>
      <c r="B50" s="73"/>
      <c r="C50" s="715" t="s">
        <v>66</v>
      </c>
      <c r="D50" s="715"/>
      <c r="E50" s="64">
        <v>21</v>
      </c>
      <c r="F50" s="78">
        <f>' Nota 21'!B16</f>
        <v>0</v>
      </c>
      <c r="G50" s="78">
        <f>' Nota 21'!C16</f>
        <v>0</v>
      </c>
    </row>
    <row r="51" spans="1:7">
      <c r="A51" s="67"/>
      <c r="B51" s="73"/>
      <c r="C51" s="715" t="s">
        <v>230</v>
      </c>
      <c r="D51" s="715"/>
      <c r="E51" s="64">
        <v>21</v>
      </c>
      <c r="F51" s="78">
        <f>' Nota 21'!B20</f>
        <v>0</v>
      </c>
      <c r="G51" s="78">
        <f>' Nota 21'!C20</f>
        <v>0</v>
      </c>
    </row>
    <row r="52" spans="1:7">
      <c r="A52" s="67"/>
      <c r="B52" s="73"/>
      <c r="C52" s="715" t="s">
        <v>68</v>
      </c>
      <c r="D52" s="715"/>
      <c r="E52" s="77">
        <v>22</v>
      </c>
      <c r="F52" s="78">
        <f>'Nota 22'!B8</f>
        <v>0</v>
      </c>
      <c r="G52" s="78">
        <f>'Nota 22'!C8</f>
        <v>0</v>
      </c>
    </row>
    <row r="53" spans="1:7">
      <c r="A53" s="67"/>
      <c r="B53" s="73"/>
      <c r="C53" s="715" t="s">
        <v>70</v>
      </c>
      <c r="D53" s="715"/>
      <c r="E53" s="77">
        <v>23</v>
      </c>
      <c r="F53" s="78">
        <f>'Nota 23'!B10</f>
        <v>139685031756</v>
      </c>
      <c r="G53" s="78">
        <f>'Nota 23'!C10</f>
        <v>104909231188</v>
      </c>
    </row>
    <row r="54" spans="1:7">
      <c r="A54" s="67"/>
      <c r="B54" s="73"/>
      <c r="C54" s="718" t="s">
        <v>196</v>
      </c>
      <c r="D54" s="718"/>
      <c r="E54" s="74"/>
      <c r="F54" s="78">
        <f>SUM(F47:F53)</f>
        <v>700668197974</v>
      </c>
      <c r="G54" s="78">
        <f>SUM(G47:G53)</f>
        <v>665892397406</v>
      </c>
    </row>
    <row r="55" spans="1:7">
      <c r="A55" s="67"/>
      <c r="B55" s="73"/>
      <c r="C55" s="715" t="s">
        <v>72</v>
      </c>
      <c r="D55" s="715"/>
      <c r="E55" s="77">
        <v>24</v>
      </c>
      <c r="F55" s="78">
        <f>'Nota 24'!B8</f>
        <v>0</v>
      </c>
      <c r="G55" s="78">
        <f>'Nota 24'!C8</f>
        <v>0</v>
      </c>
    </row>
    <row r="56" spans="1:7" ht="15.5">
      <c r="A56" s="67"/>
      <c r="B56" s="716" t="s">
        <v>231</v>
      </c>
      <c r="C56" s="716"/>
      <c r="D56" s="716"/>
      <c r="E56" s="90"/>
      <c r="F56" s="92">
        <f>F54</f>
        <v>700668197974</v>
      </c>
      <c r="G56" s="92">
        <f>G54</f>
        <v>665892397406</v>
      </c>
    </row>
    <row r="57" spans="1:7" ht="15.5">
      <c r="A57" s="67"/>
      <c r="B57" s="716" t="s">
        <v>232</v>
      </c>
      <c r="C57" s="716"/>
      <c r="D57" s="716"/>
      <c r="E57" s="93"/>
      <c r="F57" s="92">
        <f>+F45+F56</f>
        <v>1334773795435.8799</v>
      </c>
      <c r="G57" s="92">
        <f>+G45+G56</f>
        <v>1369447813747.6396</v>
      </c>
    </row>
    <row r="58" spans="1:7">
      <c r="A58" s="67"/>
      <c r="B58" s="94"/>
      <c r="C58" s="75"/>
      <c r="D58" s="75"/>
      <c r="E58" s="74"/>
      <c r="F58" s="95"/>
      <c r="G58" s="89"/>
    </row>
    <row r="59" spans="1:7">
      <c r="B59" s="67" t="s">
        <v>233</v>
      </c>
      <c r="C59" s="67"/>
      <c r="D59" s="67"/>
      <c r="E59" s="96"/>
      <c r="F59" s="79"/>
      <c r="G59" s="79"/>
    </row>
    <row r="60" spans="1:7">
      <c r="A60" s="67"/>
      <c r="B60" s="97"/>
      <c r="C60" s="67"/>
      <c r="D60" s="67"/>
      <c r="E60" s="96"/>
      <c r="F60" s="67"/>
      <c r="G60" s="98"/>
    </row>
    <row r="61" spans="1:7">
      <c r="A61" s="67"/>
      <c r="B61" s="97"/>
      <c r="C61" s="67"/>
      <c r="D61" s="67"/>
      <c r="E61" s="96"/>
      <c r="F61" s="67"/>
      <c r="G61" s="98"/>
    </row>
    <row r="62" spans="1:7">
      <c r="A62" s="67"/>
      <c r="B62" s="97"/>
      <c r="C62" s="67"/>
      <c r="D62" s="67"/>
      <c r="E62" s="96"/>
      <c r="F62" s="67"/>
      <c r="G62" s="98"/>
    </row>
    <row r="63" spans="1:7">
      <c r="A63" s="67"/>
      <c r="B63" s="67"/>
      <c r="C63" s="67"/>
      <c r="D63" s="67"/>
      <c r="E63" s="96"/>
      <c r="F63" s="67"/>
      <c r="G63" s="67"/>
    </row>
    <row r="64" spans="1:7" s="102" customFormat="1" ht="15.5">
      <c r="A64" s="99"/>
      <c r="B64" s="100"/>
      <c r="C64" s="100"/>
      <c r="D64" s="100"/>
      <c r="E64" s="101"/>
      <c r="F64" s="719"/>
      <c r="G64" s="719"/>
    </row>
    <row r="65" spans="1:7" s="102" customFormat="1" ht="15.5">
      <c r="B65" s="103"/>
      <c r="C65" s="103"/>
      <c r="D65" s="104"/>
      <c r="E65" s="105"/>
      <c r="F65" s="720"/>
      <c r="G65" s="720"/>
    </row>
    <row r="66" spans="1:7" s="102" customFormat="1" ht="15.5">
      <c r="A66" s="99"/>
      <c r="B66" s="99"/>
      <c r="C66" s="99"/>
      <c r="D66" s="106"/>
      <c r="E66" s="107"/>
      <c r="F66" s="106"/>
      <c r="G66" s="99"/>
    </row>
    <row r="67" spans="1:7" s="102" customFormat="1" ht="15.5">
      <c r="A67" s="99"/>
      <c r="B67" s="99"/>
      <c r="C67" s="99"/>
      <c r="D67" s="106"/>
      <c r="E67" s="107"/>
      <c r="F67" s="106"/>
      <c r="G67" s="99"/>
    </row>
    <row r="68" spans="1:7" s="102" customFormat="1" ht="15.5">
      <c r="A68" s="99"/>
      <c r="B68" s="99"/>
      <c r="C68" s="99"/>
      <c r="D68" s="106"/>
      <c r="E68" s="107"/>
      <c r="F68" s="106"/>
      <c r="G68" s="99"/>
    </row>
    <row r="69" spans="1:7" s="102" customFormat="1" ht="15.5">
      <c r="E69" s="108"/>
      <c r="F69" s="719"/>
      <c r="G69" s="719"/>
    </row>
    <row r="70" spans="1:7" s="102" customFormat="1" ht="15.5">
      <c r="B70" s="106"/>
      <c r="C70" s="106"/>
      <c r="D70" s="106"/>
      <c r="E70" s="107"/>
      <c r="F70" s="720"/>
      <c r="G70" s="720"/>
    </row>
    <row r="71" spans="1:7" s="106" customFormat="1" ht="15.5">
      <c r="B71" s="721"/>
      <c r="C71" s="721"/>
      <c r="D71" s="721"/>
      <c r="E71" s="107"/>
    </row>
    <row r="72" spans="1:7">
      <c r="A72" s="75"/>
      <c r="B72" s="75"/>
      <c r="C72" s="76"/>
      <c r="D72" s="109"/>
      <c r="E72" s="74"/>
      <c r="F72" s="109"/>
      <c r="G72" s="75"/>
    </row>
    <row r="73" spans="1:7">
      <c r="C73" s="110"/>
      <c r="D73" s="111"/>
      <c r="E73" s="112"/>
      <c r="F73" s="111"/>
    </row>
    <row r="74" spans="1:7">
      <c r="D74" s="113"/>
      <c r="E74" s="114"/>
      <c r="F74" s="113"/>
    </row>
    <row r="75" spans="1:7">
      <c r="D75" s="113"/>
      <c r="E75" s="114"/>
      <c r="F75" s="113"/>
    </row>
    <row r="76" spans="1:7">
      <c r="D76" s="113"/>
      <c r="E76" s="114"/>
      <c r="F76" s="113"/>
    </row>
    <row r="77" spans="1:7">
      <c r="D77" s="113"/>
      <c r="E77" s="114"/>
      <c r="F77" s="113"/>
    </row>
    <row r="78" spans="1:7">
      <c r="D78" s="113"/>
      <c r="E78" s="114"/>
      <c r="F78" s="113"/>
    </row>
    <row r="79" spans="1:7">
      <c r="E79" s="115"/>
    </row>
    <row r="80" spans="1:7">
      <c r="C80" s="116"/>
      <c r="E80" s="115"/>
    </row>
    <row r="81" spans="3:6">
      <c r="C81" s="110"/>
      <c r="D81" s="111"/>
      <c r="E81" s="112"/>
      <c r="F81" s="111"/>
    </row>
    <row r="82" spans="3:6">
      <c r="D82" s="111"/>
      <c r="E82" s="117"/>
      <c r="F82" s="111"/>
    </row>
  </sheetData>
  <sheetProtection sheet="1" objects="1" scenarios="1"/>
  <mergeCells count="45">
    <mergeCell ref="F64:G64"/>
    <mergeCell ref="F65:G65"/>
    <mergeCell ref="F69:G69"/>
    <mergeCell ref="F70:G70"/>
    <mergeCell ref="B71:D71"/>
    <mergeCell ref="C53:D53"/>
    <mergeCell ref="C54:D54"/>
    <mergeCell ref="C55:D55"/>
    <mergeCell ref="B56:D56"/>
    <mergeCell ref="B57:D57"/>
    <mergeCell ref="C48:D48"/>
    <mergeCell ref="C49:D49"/>
    <mergeCell ref="C50:D50"/>
    <mergeCell ref="C51:D51"/>
    <mergeCell ref="C52:D52"/>
    <mergeCell ref="C41:D41"/>
    <mergeCell ref="C42:D42"/>
    <mergeCell ref="B45:D45"/>
    <mergeCell ref="B46:D46"/>
    <mergeCell ref="C47:D47"/>
    <mergeCell ref="C34:D34"/>
    <mergeCell ref="C35:D35"/>
    <mergeCell ref="C36:D36"/>
    <mergeCell ref="C37:D37"/>
    <mergeCell ref="C38:D38"/>
    <mergeCell ref="C28:D28"/>
    <mergeCell ref="B29:D29"/>
    <mergeCell ref="B30:D30"/>
    <mergeCell ref="C32:D32"/>
    <mergeCell ref="C33:D33"/>
    <mergeCell ref="C23:D23"/>
    <mergeCell ref="C24:D24"/>
    <mergeCell ref="C25:D25"/>
    <mergeCell ref="C26:D26"/>
    <mergeCell ref="C27:D27"/>
    <mergeCell ref="C15:D15"/>
    <mergeCell ref="C16:D16"/>
    <mergeCell ref="C17:D17"/>
    <mergeCell ref="C18:D18"/>
    <mergeCell ref="C21:D21"/>
    <mergeCell ref="A7:G7"/>
    <mergeCell ref="A8:G8"/>
    <mergeCell ref="A9:G9"/>
    <mergeCell ref="B12:D12"/>
    <mergeCell ref="C14:D14"/>
  </mergeCells>
  <hyperlinks>
    <hyperlink ref="E1" location="Indice!A1" display="Indice" xr:uid="{00000000-0004-0000-0200-000000000000}"/>
    <hyperlink ref="E14" location="'Nota 3'!A1" display="#'Nota 3'.A1" xr:uid="{00000000-0004-0000-0200-000001000000}"/>
    <hyperlink ref="E15" location="'Nota 4'!A1" display="#'Nota 4'.A1" xr:uid="{00000000-0004-0000-0200-000002000000}"/>
    <hyperlink ref="E16" location="'Nota 5'!A1" display="#'Nota 5'.A1" xr:uid="{00000000-0004-0000-0200-000003000000}"/>
    <hyperlink ref="E17" location="'Nota 6'!A1" display="#'Nota 6'.A1" xr:uid="{00000000-0004-0000-0200-000004000000}"/>
    <hyperlink ref="E18" location="'Nota 7'!A1" display="#'Nota 7'.A1" xr:uid="{00000000-0004-0000-0200-000005000000}"/>
    <hyperlink ref="E21" location="'Nota 6'!A1" display="#'Nota 6'.A1" xr:uid="{00000000-0004-0000-0200-000006000000}"/>
    <hyperlink ref="E22" location="'Nota 5'!A1" display="#'Nota 5'.A1" xr:uid="{00000000-0004-0000-0200-000007000000}"/>
    <hyperlink ref="E23" location="'Nota 8'!A1" display="#'Nota 8'.A1" xr:uid="{00000000-0004-0000-0200-000008000000}"/>
    <hyperlink ref="E24" location="'Nota 9'!A1" display="#'Nota 9'.A1" xr:uid="{00000000-0004-0000-0200-000009000000}"/>
    <hyperlink ref="E25" location="'Nota 10'!A1" display="#'Nota 10'.A1" xr:uid="{00000000-0004-0000-0200-00000A000000}"/>
    <hyperlink ref="E26" location="'Nota 11'!A1" display="#'Nota 11'.A1" xr:uid="{00000000-0004-0000-0200-00000B000000}"/>
    <hyperlink ref="E27" location="'Nota 12'!A1" display="#'Nota 12'.A1" xr:uid="{00000000-0004-0000-0200-00000C000000}"/>
    <hyperlink ref="E32" location="'Nota 13'!A1" display="#'Nota 13'.A1" xr:uid="{00000000-0004-0000-0200-00000D000000}"/>
    <hyperlink ref="E33" location="'Nota 14'!A1" display="#'Nota 14'.A1" xr:uid="{00000000-0004-0000-0200-00000E000000}"/>
    <hyperlink ref="E34" location="'Nota 15'!A1" display="#'Nota 15'.A1" xr:uid="{00000000-0004-0000-0200-00000F000000}"/>
    <hyperlink ref="E35" location="'Nota 16'!A1" display="#'Nota 16'.A1" xr:uid="{00000000-0004-0000-0200-000010000000}"/>
    <hyperlink ref="E36" location="'Nota 17'!A1" display="#'Nota 17'.A1" xr:uid="{00000000-0004-0000-0200-000011000000}"/>
    <hyperlink ref="E37" location="'Nota 18'!A1" display="#'Nota 18'.A1" xr:uid="{00000000-0004-0000-0200-000012000000}"/>
    <hyperlink ref="E38" location="'Nota 19'!A1" display="#'Nota 19'.A1" xr:uid="{00000000-0004-0000-0200-000013000000}"/>
    <hyperlink ref="E41" location="'Nota 14'!A1" display="#'Nota 14'.A1" xr:uid="{00000000-0004-0000-0200-000014000000}"/>
    <hyperlink ref="E42" location="'Nota 19'!A1" display="#'Nota 19'.A1" xr:uid="{00000000-0004-0000-0200-000015000000}"/>
    <hyperlink ref="E47" location="'Nota 20'!A1" display="#'Nota 20'.A1" xr:uid="{00000000-0004-0000-0200-000016000000}"/>
    <hyperlink ref="E48" location="' Nota 21'!A1" display="#' Nota 21'.A1" xr:uid="{00000000-0004-0000-0200-000017000000}"/>
    <hyperlink ref="E49" location="' Nota 21'!A1" display="#' Nota 21'.A1" xr:uid="{00000000-0004-0000-0200-000018000000}"/>
    <hyperlink ref="E50" location="' Nota 21'!A1" display="#' Nota 21'.A1" xr:uid="{00000000-0004-0000-0200-000019000000}"/>
    <hyperlink ref="E51" location="' Nota 21'!A1" display="#' Nota 21'.A1" xr:uid="{00000000-0004-0000-0200-00001A000000}"/>
    <hyperlink ref="E52" location="'Nota 22'!A1" display="#'Nota 22'.A1" xr:uid="{00000000-0004-0000-0200-00001B000000}"/>
    <hyperlink ref="E53" location="'Nota 23'!A1" display="#'Nota 23'.A1" xr:uid="{00000000-0004-0000-0200-00001C000000}"/>
    <hyperlink ref="E55" location="'Nota 24'!A1" display="#'Nota 24'.A1" xr:uid="{00000000-0004-0000-0200-00001D000000}"/>
  </hyperlinks>
  <printOptions horizontalCentered="1"/>
  <pageMargins left="0.70833333333333304" right="0.70833333333333304" top="0.74791666666666701" bottom="0.74791666666666701" header="0.511811023622047" footer="0.511811023622047"/>
  <pageSetup paperSize="9" scale="70"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H9"/>
  <sheetViews>
    <sheetView topLeftCell="A6" zoomScaleNormal="100" workbookViewId="0">
      <selection activeCell="A6" activeCellId="1" sqref="A166:A259 A6"/>
    </sheetView>
  </sheetViews>
  <sheetFormatPr baseColWidth="10" defaultColWidth="10.54296875" defaultRowHeight="14.5"/>
  <cols>
    <col min="1" max="1" width="40.81640625" style="162" customWidth="1"/>
    <col min="2" max="3" width="19" style="162" customWidth="1"/>
    <col min="4" max="34" width="11.453125" style="162" customWidth="1"/>
  </cols>
  <sheetData>
    <row r="1" spans="1:6" ht="26">
      <c r="A1" s="428" t="str">
        <f>Indice!C1</f>
        <v>KUROSU &amp; CIA. S.A.</v>
      </c>
      <c r="F1" s="298" t="s">
        <v>23</v>
      </c>
    </row>
    <row r="4" spans="1:6">
      <c r="A4" s="212" t="s">
        <v>614</v>
      </c>
      <c r="B4" s="212"/>
      <c r="C4" s="212"/>
      <c r="D4" s="212"/>
      <c r="E4" s="272"/>
      <c r="F4" s="163"/>
    </row>
    <row r="6" spans="1:6">
      <c r="B6" s="765" t="s">
        <v>378</v>
      </c>
      <c r="C6" s="765"/>
    </row>
    <row r="7" spans="1:6">
      <c r="A7" s="391"/>
      <c r="B7" s="366">
        <f>IFERROR(IF(Indice!B8="","2XX2",YEAR(Indice!B8)),"2XX2")</f>
        <v>2025</v>
      </c>
      <c r="C7" s="366">
        <f>+IFERROR(YEAR(Indice!B8-730),"2XX1")</f>
        <v>2023</v>
      </c>
    </row>
    <row r="8" spans="1:6">
      <c r="A8" s="162" t="s">
        <v>256</v>
      </c>
      <c r="B8" s="562">
        <v>0</v>
      </c>
      <c r="C8" s="562">
        <v>0</v>
      </c>
    </row>
    <row r="9" spans="1:6">
      <c r="A9" s="391" t="s">
        <v>496</v>
      </c>
      <c r="B9" s="391">
        <v>0</v>
      </c>
      <c r="C9" s="391">
        <v>0</v>
      </c>
    </row>
  </sheetData>
  <mergeCells count="1">
    <mergeCell ref="B6:C6"/>
  </mergeCells>
  <hyperlinks>
    <hyperlink ref="F1" location="BG!A1" display="BG" xr:uid="{00000000-0004-0000-1D00-000000000000}"/>
  </hyperlinks>
  <pageMargins left="0.7" right="0.7" top="0.75" bottom="0.75" header="0.511811023622047" footer="0.511811023622047"/>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G9"/>
  <sheetViews>
    <sheetView showGridLines="0" zoomScaleNormal="100" workbookViewId="0">
      <selection activeCell="C14" activeCellId="1" sqref="A166:A259 C14"/>
    </sheetView>
  </sheetViews>
  <sheetFormatPr baseColWidth="10" defaultColWidth="10.54296875" defaultRowHeight="14.5"/>
  <cols>
    <col min="1" max="1" width="45.54296875" style="162" customWidth="1"/>
    <col min="2" max="2" width="18.1796875" style="162" customWidth="1"/>
    <col min="3" max="3" width="21.81640625" style="162" customWidth="1"/>
    <col min="4" max="33" width="11.453125" style="162" customWidth="1"/>
  </cols>
  <sheetData>
    <row r="1" spans="1:5" ht="26">
      <c r="A1" s="428" t="str">
        <f>Indice!C1</f>
        <v>KUROSU &amp; CIA. S.A.</v>
      </c>
      <c r="E1" s="298" t="s">
        <v>75</v>
      </c>
    </row>
    <row r="3" spans="1:5">
      <c r="A3" s="212" t="s">
        <v>615</v>
      </c>
      <c r="B3" s="212"/>
      <c r="C3" s="212"/>
      <c r="D3" s="212"/>
      <c r="E3" s="212"/>
    </row>
    <row r="4" spans="1:5">
      <c r="B4" s="765" t="s">
        <v>378</v>
      </c>
      <c r="C4" s="765"/>
    </row>
    <row r="5" spans="1:5">
      <c r="A5" s="391" t="s">
        <v>616</v>
      </c>
      <c r="B5" s="366">
        <f>IFERROR(IF(Indice!B8="","2XX2",YEAR(Indice!B8)),"2XX2")</f>
        <v>2025</v>
      </c>
      <c r="C5" s="366">
        <f>+IFERROR(YEAR(Indice!B8-365),"2XX1")</f>
        <v>2024</v>
      </c>
    </row>
    <row r="6" spans="1:5">
      <c r="A6" s="391" t="s">
        <v>76</v>
      </c>
      <c r="B6" s="564">
        <v>0</v>
      </c>
      <c r="C6" s="564">
        <v>0</v>
      </c>
    </row>
    <row r="7" spans="1:5">
      <c r="A7" s="391" t="s">
        <v>617</v>
      </c>
      <c r="B7" s="564">
        <f>B6</f>
        <v>0</v>
      </c>
      <c r="C7" s="564">
        <v>0</v>
      </c>
    </row>
    <row r="8" spans="1:5">
      <c r="A8" s="565" t="s">
        <v>618</v>
      </c>
      <c r="B8" s="566">
        <v>334751720224</v>
      </c>
      <c r="C8" s="566">
        <v>374420857506</v>
      </c>
    </row>
    <row r="9" spans="1:5">
      <c r="A9" s="391" t="s">
        <v>257</v>
      </c>
      <c r="B9" s="567">
        <f>SUM($B$8:B8)</f>
        <v>334751720224</v>
      </c>
      <c r="C9" s="567">
        <f>SUM($C$7:C8)</f>
        <v>374420857506</v>
      </c>
    </row>
  </sheetData>
  <mergeCells count="1">
    <mergeCell ref="B4:C4"/>
  </mergeCells>
  <hyperlinks>
    <hyperlink ref="E1" location="ER!A1" display="ER" xr:uid="{00000000-0004-0000-1E00-000000000000}"/>
  </hyperlinks>
  <pageMargins left="0.7" right="0.7" top="0.75" bottom="0.75" header="0.511811023622047" footer="0.511811023622047"/>
  <pageSetup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E16"/>
  <sheetViews>
    <sheetView showGridLines="0" zoomScaleNormal="100" workbookViewId="0">
      <selection activeCell="C10" activeCellId="1" sqref="A166:A259 C10"/>
    </sheetView>
  </sheetViews>
  <sheetFormatPr baseColWidth="10" defaultColWidth="10.54296875" defaultRowHeight="14.5"/>
  <cols>
    <col min="1" max="1" width="38" style="162" customWidth="1"/>
    <col min="2" max="2" width="18.1796875" style="162" customWidth="1"/>
    <col min="3" max="3" width="17.1796875" style="162" customWidth="1"/>
    <col min="4" max="5" width="11.453125" style="162" customWidth="1"/>
    <col min="6" max="6" width="13.1796875" style="162" customWidth="1"/>
    <col min="7" max="31" width="11.453125" style="162" customWidth="1"/>
  </cols>
  <sheetData>
    <row r="1" spans="1:6" ht="26">
      <c r="A1" s="428" t="str">
        <f>Indice!C1</f>
        <v>KUROSU &amp; CIA. S.A.</v>
      </c>
      <c r="E1" s="298" t="s">
        <v>75</v>
      </c>
    </row>
    <row r="5" spans="1:6">
      <c r="A5" s="769" t="s">
        <v>619</v>
      </c>
      <c r="B5" s="769"/>
      <c r="C5" s="769"/>
      <c r="D5" s="769"/>
      <c r="E5" s="769"/>
      <c r="F5" s="769"/>
    </row>
    <row r="7" spans="1:6">
      <c r="B7" s="776"/>
      <c r="C7" s="776"/>
    </row>
    <row r="8" spans="1:6">
      <c r="B8" s="777" t="s">
        <v>378</v>
      </c>
      <c r="C8" s="777"/>
    </row>
    <row r="9" spans="1:6">
      <c r="A9" s="391" t="s">
        <v>78</v>
      </c>
      <c r="B9" s="366">
        <f>IFERROR(IF(Indice!B8="","2XX2",YEAR(Indice!B8)),"2XX2")</f>
        <v>2025</v>
      </c>
      <c r="C9" s="366">
        <f>+IFERROR(YEAR(Indice!B8-365),"2XX1")</f>
        <v>2024</v>
      </c>
    </row>
    <row r="10" spans="1:6">
      <c r="A10" s="391" t="s">
        <v>620</v>
      </c>
      <c r="B10" s="569">
        <v>0</v>
      </c>
      <c r="C10" s="569">
        <v>0</v>
      </c>
    </row>
    <row r="11" spans="1:6">
      <c r="A11" s="162" t="s">
        <v>621</v>
      </c>
      <c r="B11" s="570">
        <v>734188098722</v>
      </c>
      <c r="C11" s="465">
        <v>577438002196</v>
      </c>
    </row>
    <row r="12" spans="1:6">
      <c r="A12" s="162" t="s">
        <v>622</v>
      </c>
      <c r="B12" s="570">
        <v>225270677974</v>
      </c>
      <c r="C12" s="465">
        <v>360355832746</v>
      </c>
    </row>
    <row r="13" spans="1:6" ht="12.75" customHeight="1">
      <c r="A13" s="162" t="s">
        <v>623</v>
      </c>
      <c r="B13" s="571">
        <v>-707237767711</v>
      </c>
      <c r="C13" s="571">
        <v>-641970565174</v>
      </c>
    </row>
    <row r="14" spans="1:6">
      <c r="A14" s="391" t="s">
        <v>624</v>
      </c>
      <c r="B14" s="572">
        <f>-SUM($B$10:B13)</f>
        <v>-252221008985</v>
      </c>
      <c r="C14" s="572">
        <f>-SUM($C$11:C13)</f>
        <v>-295823269768</v>
      </c>
    </row>
    <row r="16" spans="1:6">
      <c r="B16" s="300"/>
    </row>
  </sheetData>
  <mergeCells count="3">
    <mergeCell ref="A5:F5"/>
    <mergeCell ref="B7:C7"/>
    <mergeCell ref="B8:C8"/>
  </mergeCells>
  <hyperlinks>
    <hyperlink ref="E1" location="ER!A1" display="ER" xr:uid="{00000000-0004-0000-1F00-000000000000}"/>
  </hyperlinks>
  <pageMargins left="0.7" right="0.7" top="0.75" bottom="0.75" header="0.511811023622047" footer="0.511811023622047"/>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G79"/>
  <sheetViews>
    <sheetView showGridLines="0" topLeftCell="B66" zoomScaleNormal="100" workbookViewId="0">
      <selection activeCell="E81" activeCellId="1" sqref="A166:A259 E81"/>
    </sheetView>
  </sheetViews>
  <sheetFormatPr baseColWidth="10" defaultColWidth="10.54296875" defaultRowHeight="14.5"/>
  <cols>
    <col min="1" max="1" width="52.453125" style="162" customWidth="1"/>
    <col min="2" max="2" width="31.453125" style="162" customWidth="1"/>
    <col min="3" max="7" width="23" style="162" customWidth="1"/>
    <col min="8" max="8" width="22.453125" style="162" customWidth="1"/>
    <col min="9" max="33" width="11.453125" style="162" customWidth="1"/>
  </cols>
  <sheetData>
    <row r="1" spans="1:8" ht="26">
      <c r="A1" s="428" t="str">
        <f>Indice!C1</f>
        <v>KUROSU &amp; CIA. S.A.</v>
      </c>
      <c r="G1" s="298" t="s">
        <v>75</v>
      </c>
    </row>
    <row r="5" spans="1:8">
      <c r="A5" s="212" t="s">
        <v>625</v>
      </c>
      <c r="B5" s="212"/>
      <c r="C5" s="212"/>
      <c r="D5" s="212"/>
      <c r="E5" s="212"/>
      <c r="F5" s="212"/>
      <c r="G5" s="212"/>
      <c r="H5" s="212"/>
    </row>
    <row r="6" spans="1:8" ht="14.25" customHeight="1">
      <c r="A6" s="778" t="s">
        <v>626</v>
      </c>
      <c r="B6" s="778"/>
      <c r="C6" s="778"/>
      <c r="D6" s="778"/>
      <c r="E6" s="778"/>
      <c r="F6" s="778"/>
      <c r="G6" s="778"/>
      <c r="H6" s="778"/>
    </row>
    <row r="7" spans="1:8" s="365" customFormat="1">
      <c r="A7" s="364"/>
      <c r="B7" s="364"/>
      <c r="C7" s="364"/>
      <c r="D7" s="364"/>
      <c r="E7" s="364"/>
      <c r="F7" s="364"/>
      <c r="G7" s="364"/>
      <c r="H7" s="364"/>
    </row>
    <row r="8" spans="1:8" s="365" customFormat="1">
      <c r="A8" s="573" t="s">
        <v>627</v>
      </c>
      <c r="B8" s="364"/>
      <c r="C8" s="364"/>
      <c r="D8" s="364"/>
      <c r="E8" s="364"/>
      <c r="F8" s="364"/>
      <c r="G8" s="364"/>
      <c r="H8" s="364"/>
    </row>
    <row r="9" spans="1:8" s="365" customFormat="1">
      <c r="A9" s="364"/>
      <c r="B9" s="364"/>
      <c r="C9" s="364"/>
      <c r="D9" s="364"/>
      <c r="E9" s="364"/>
      <c r="F9" s="364"/>
      <c r="G9" s="364"/>
      <c r="H9" s="364"/>
    </row>
    <row r="10" spans="1:8" s="365" customFormat="1">
      <c r="A10" s="574" t="s">
        <v>378</v>
      </c>
      <c r="B10" s="364"/>
      <c r="D10" s="575"/>
      <c r="E10" s="575"/>
      <c r="F10" s="576"/>
      <c r="G10" s="364"/>
      <c r="H10" s="364"/>
    </row>
    <row r="11" spans="1:8" s="365" customFormat="1">
      <c r="A11" s="779" t="s">
        <v>628</v>
      </c>
      <c r="B11" s="577"/>
      <c r="C11" s="578">
        <f>IFERROR(IF(Indice!B8="","2XX2",YEAR(Indice!B8)),"2XX2")</f>
        <v>2025</v>
      </c>
      <c r="D11" s="579"/>
      <c r="E11" s="580"/>
      <c r="F11" s="578">
        <f>+IFERROR(YEAR(Indice!B8-365),"2XX1")</f>
        <v>2024</v>
      </c>
      <c r="G11" s="581"/>
      <c r="H11" s="364"/>
    </row>
    <row r="12" spans="1:8" s="365" customFormat="1">
      <c r="A12" s="779"/>
      <c r="B12" s="582" t="s">
        <v>629</v>
      </c>
      <c r="C12" s="582" t="s">
        <v>630</v>
      </c>
      <c r="D12" s="582" t="s">
        <v>257</v>
      </c>
      <c r="E12" s="582" t="s">
        <v>629</v>
      </c>
      <c r="F12" s="582" t="s">
        <v>630</v>
      </c>
      <c r="G12" s="582" t="s">
        <v>257</v>
      </c>
      <c r="H12" s="364"/>
    </row>
    <row r="13" spans="1:8" s="365" customFormat="1">
      <c r="A13" s="583" t="s">
        <v>631</v>
      </c>
      <c r="B13" s="584">
        <f>1996702667+2323695000</f>
        <v>4320397667</v>
      </c>
      <c r="C13" s="585">
        <v>1123733333</v>
      </c>
      <c r="D13" s="584">
        <f t="shared" ref="D13:D39" si="0">+C13+B13</f>
        <v>5444131000</v>
      </c>
      <c r="E13" s="584">
        <f>1889066401+2189718332</f>
        <v>4078784733</v>
      </c>
      <c r="F13" s="584">
        <v>1086201668</v>
      </c>
      <c r="G13" s="584">
        <f>SUM(E23:F23)</f>
        <v>161290978</v>
      </c>
    </row>
    <row r="14" spans="1:8" s="365" customFormat="1" ht="13.5" customHeight="1">
      <c r="A14" s="583" t="s">
        <v>632</v>
      </c>
      <c r="B14" s="584">
        <f>967063373+1050915568</f>
        <v>2017978941</v>
      </c>
      <c r="C14" s="585">
        <v>380985105</v>
      </c>
      <c r="D14" s="584">
        <f t="shared" si="0"/>
        <v>2398964046</v>
      </c>
      <c r="E14" s="586">
        <v>2059429899</v>
      </c>
      <c r="F14" s="586">
        <v>384809622</v>
      </c>
      <c r="G14" s="584">
        <f t="shared" ref="G14:G22" si="1">SUM(E14:F14)</f>
        <v>2444239521</v>
      </c>
      <c r="H14" s="364"/>
    </row>
    <row r="15" spans="1:8" s="365" customFormat="1" ht="13.5" customHeight="1">
      <c r="A15" s="583" t="s">
        <v>633</v>
      </c>
      <c r="B15" s="585">
        <f>3223304563+3498495119</f>
        <v>6721799682</v>
      </c>
      <c r="C15" s="584">
        <v>890240639</v>
      </c>
      <c r="D15" s="584">
        <f t="shared" si="0"/>
        <v>7612040321</v>
      </c>
      <c r="E15" s="586">
        <v>7388741203</v>
      </c>
      <c r="F15" s="586">
        <v>923473605</v>
      </c>
      <c r="G15" s="584">
        <f t="shared" si="1"/>
        <v>8312214808</v>
      </c>
      <c r="H15" s="364"/>
    </row>
    <row r="16" spans="1:8" s="365" customFormat="1">
      <c r="A16" s="583" t="s">
        <v>634</v>
      </c>
      <c r="B16" s="584">
        <f>596544249+531804486</f>
        <v>1128348735</v>
      </c>
      <c r="C16" s="585">
        <v>295026667</v>
      </c>
      <c r="D16" s="584">
        <f t="shared" si="0"/>
        <v>1423375402</v>
      </c>
      <c r="E16" s="584">
        <f>536042600+462923333</f>
        <v>998965933</v>
      </c>
      <c r="F16" s="584">
        <v>269021178</v>
      </c>
      <c r="G16" s="584">
        <f t="shared" si="1"/>
        <v>1267987111</v>
      </c>
    </row>
    <row r="17" spans="1:8" s="365" customFormat="1" ht="13.5" customHeight="1">
      <c r="A17" s="583" t="s">
        <v>635</v>
      </c>
      <c r="B17" s="584">
        <f>484712623+529499550</f>
        <v>1014212173</v>
      </c>
      <c r="C17" s="585">
        <v>192416720</v>
      </c>
      <c r="D17" s="584">
        <f t="shared" si="0"/>
        <v>1206628893</v>
      </c>
      <c r="E17" s="586">
        <v>1038874323</v>
      </c>
      <c r="F17" s="586">
        <v>189891371</v>
      </c>
      <c r="G17" s="584">
        <f t="shared" si="1"/>
        <v>1228765694</v>
      </c>
      <c r="H17" s="364"/>
    </row>
    <row r="18" spans="1:8" s="365" customFormat="1">
      <c r="A18" s="583" t="s">
        <v>636</v>
      </c>
      <c r="B18" s="584">
        <v>0</v>
      </c>
      <c r="C18" s="585">
        <v>782272724</v>
      </c>
      <c r="D18" s="584">
        <f t="shared" si="0"/>
        <v>782272724</v>
      </c>
      <c r="E18" s="584">
        <v>0</v>
      </c>
      <c r="F18" s="584">
        <v>813636361</v>
      </c>
      <c r="G18" s="584">
        <f t="shared" si="1"/>
        <v>813636361</v>
      </c>
    </row>
    <row r="19" spans="1:8" s="365" customFormat="1">
      <c r="A19" s="583" t="s">
        <v>637</v>
      </c>
      <c r="B19" s="584">
        <v>0</v>
      </c>
      <c r="C19" s="585">
        <v>479764386</v>
      </c>
      <c r="D19" s="584">
        <f t="shared" si="0"/>
        <v>479764386</v>
      </c>
      <c r="E19" s="586">
        <v>0</v>
      </c>
      <c r="F19" s="586">
        <v>342663168</v>
      </c>
      <c r="G19" s="584">
        <f t="shared" si="1"/>
        <v>342663168</v>
      </c>
    </row>
    <row r="20" spans="1:8" s="365" customFormat="1" ht="13.5" customHeight="1">
      <c r="A20" s="583" t="s">
        <v>638</v>
      </c>
      <c r="B20" s="584">
        <v>0</v>
      </c>
      <c r="C20" s="585">
        <v>492854614</v>
      </c>
      <c r="D20" s="584">
        <f t="shared" si="0"/>
        <v>492854614</v>
      </c>
      <c r="E20" s="586">
        <v>0</v>
      </c>
      <c r="F20" s="586">
        <v>340167352</v>
      </c>
      <c r="G20" s="584">
        <f t="shared" si="1"/>
        <v>340167352</v>
      </c>
      <c r="H20" s="364"/>
    </row>
    <row r="21" spans="1:8" s="365" customFormat="1" ht="13.5" customHeight="1">
      <c r="A21" s="583" t="s">
        <v>639</v>
      </c>
      <c r="B21" s="584">
        <v>0</v>
      </c>
      <c r="C21" s="585">
        <v>7923897</v>
      </c>
      <c r="D21" s="584">
        <f t="shared" si="0"/>
        <v>7923897</v>
      </c>
      <c r="E21" s="586">
        <v>0</v>
      </c>
      <c r="F21" s="586">
        <v>7331448</v>
      </c>
      <c r="G21" s="584">
        <f t="shared" si="1"/>
        <v>7331448</v>
      </c>
    </row>
    <row r="22" spans="1:8" s="365" customFormat="1">
      <c r="A22" s="583" t="s">
        <v>640</v>
      </c>
      <c r="B22" s="584">
        <v>0</v>
      </c>
      <c r="C22" s="585">
        <v>179973759</v>
      </c>
      <c r="D22" s="584">
        <f t="shared" si="0"/>
        <v>179973759</v>
      </c>
      <c r="E22" s="586">
        <v>0</v>
      </c>
      <c r="F22" s="587">
        <v>128830857</v>
      </c>
      <c r="G22" s="584">
        <f t="shared" si="1"/>
        <v>128830857</v>
      </c>
    </row>
    <row r="23" spans="1:8" s="365" customFormat="1">
      <c r="A23" s="583" t="s">
        <v>641</v>
      </c>
      <c r="B23" s="584">
        <v>0</v>
      </c>
      <c r="C23" s="585">
        <v>164610489</v>
      </c>
      <c r="D23" s="584">
        <f t="shared" si="0"/>
        <v>164610489</v>
      </c>
      <c r="E23" s="584">
        <v>0</v>
      </c>
      <c r="F23" s="584">
        <v>161290978</v>
      </c>
      <c r="G23" s="584">
        <f>SUM(E16:F16)</f>
        <v>1267987111</v>
      </c>
    </row>
    <row r="24" spans="1:8" s="365" customFormat="1" ht="13.5" customHeight="1">
      <c r="A24" s="583" t="s">
        <v>642</v>
      </c>
      <c r="B24" s="584">
        <v>0</v>
      </c>
      <c r="C24" s="584">
        <v>128060822</v>
      </c>
      <c r="D24" s="584">
        <f t="shared" si="0"/>
        <v>128060822</v>
      </c>
      <c r="E24" s="586">
        <v>0</v>
      </c>
      <c r="F24" s="586">
        <v>122837346</v>
      </c>
      <c r="G24" s="584">
        <f t="shared" ref="G24:G39" si="2">SUM(E24:F24)</f>
        <v>122837346</v>
      </c>
    </row>
    <row r="25" spans="1:8" s="365" customFormat="1">
      <c r="A25" s="583" t="s">
        <v>643</v>
      </c>
      <c r="B25" s="584">
        <v>0</v>
      </c>
      <c r="C25" s="585">
        <v>222962871</v>
      </c>
      <c r="D25" s="584">
        <f t="shared" si="0"/>
        <v>222962871</v>
      </c>
      <c r="E25" s="584">
        <v>0</v>
      </c>
      <c r="F25" s="584">
        <v>200553359</v>
      </c>
      <c r="G25" s="584">
        <f t="shared" si="2"/>
        <v>200553359</v>
      </c>
    </row>
    <row r="26" spans="1:8" s="365" customFormat="1">
      <c r="A26" s="583" t="s">
        <v>644</v>
      </c>
      <c r="B26" s="584">
        <v>0</v>
      </c>
      <c r="C26" s="585">
        <v>45465920</v>
      </c>
      <c r="D26" s="584">
        <f t="shared" si="0"/>
        <v>45465920</v>
      </c>
      <c r="E26" s="586">
        <v>0</v>
      </c>
      <c r="F26" s="587">
        <v>56129485</v>
      </c>
      <c r="G26" s="584">
        <f t="shared" si="2"/>
        <v>56129485</v>
      </c>
    </row>
    <row r="27" spans="1:8" s="365" customFormat="1" ht="13.5" customHeight="1">
      <c r="A27" s="583" t="s">
        <v>645</v>
      </c>
      <c r="B27" s="584">
        <v>0</v>
      </c>
      <c r="C27" s="585">
        <v>35888900</v>
      </c>
      <c r="D27" s="584">
        <f t="shared" si="0"/>
        <v>35888900</v>
      </c>
      <c r="E27" s="586">
        <v>0</v>
      </c>
      <c r="F27" s="584">
        <v>20432300</v>
      </c>
      <c r="G27" s="584">
        <f t="shared" si="2"/>
        <v>20432300</v>
      </c>
    </row>
    <row r="28" spans="1:8" s="365" customFormat="1">
      <c r="A28" s="583" t="s">
        <v>646</v>
      </c>
      <c r="B28" s="584">
        <v>0</v>
      </c>
      <c r="C28" s="585">
        <v>256764236</v>
      </c>
      <c r="D28" s="584">
        <f t="shared" si="0"/>
        <v>256764236</v>
      </c>
      <c r="E28" s="586">
        <v>0</v>
      </c>
      <c r="F28" s="587">
        <v>211502381</v>
      </c>
      <c r="G28" s="584">
        <f t="shared" si="2"/>
        <v>211502381</v>
      </c>
    </row>
    <row r="29" spans="1:8" s="365" customFormat="1">
      <c r="A29" s="583" t="s">
        <v>647</v>
      </c>
      <c r="B29" s="584">
        <v>0</v>
      </c>
      <c r="C29" s="585">
        <v>2050000</v>
      </c>
      <c r="D29" s="584">
        <f t="shared" si="0"/>
        <v>2050000</v>
      </c>
      <c r="E29" s="586">
        <v>0</v>
      </c>
      <c r="F29" s="587">
        <v>1868546</v>
      </c>
      <c r="G29" s="584">
        <f t="shared" si="2"/>
        <v>1868546</v>
      </c>
    </row>
    <row r="30" spans="1:8" s="365" customFormat="1" ht="13.5" customHeight="1">
      <c r="A30" s="583" t="s">
        <v>648</v>
      </c>
      <c r="B30" s="584">
        <v>0</v>
      </c>
      <c r="C30" s="585">
        <v>386216476</v>
      </c>
      <c r="D30" s="584">
        <f t="shared" si="0"/>
        <v>386216476</v>
      </c>
      <c r="E30" s="586">
        <v>0</v>
      </c>
      <c r="F30" s="586">
        <v>630899123</v>
      </c>
      <c r="G30" s="584">
        <f t="shared" si="2"/>
        <v>630899123</v>
      </c>
    </row>
    <row r="31" spans="1:8" s="365" customFormat="1">
      <c r="A31" s="583" t="s">
        <v>649</v>
      </c>
      <c r="B31" s="584">
        <v>0</v>
      </c>
      <c r="C31" s="585">
        <v>654812437</v>
      </c>
      <c r="D31" s="584">
        <f t="shared" si="0"/>
        <v>654812437</v>
      </c>
      <c r="E31" s="586">
        <v>0</v>
      </c>
      <c r="F31" s="586">
        <v>557373842</v>
      </c>
      <c r="G31" s="584">
        <f t="shared" si="2"/>
        <v>557373842</v>
      </c>
    </row>
    <row r="32" spans="1:8" s="365" customFormat="1">
      <c r="A32" s="583" t="s">
        <v>650</v>
      </c>
      <c r="B32" s="584">
        <v>0</v>
      </c>
      <c r="C32" s="585">
        <v>38250980</v>
      </c>
      <c r="D32" s="584">
        <f t="shared" si="0"/>
        <v>38250980</v>
      </c>
      <c r="E32" s="586">
        <v>0</v>
      </c>
      <c r="F32" s="586">
        <v>35811589</v>
      </c>
      <c r="G32" s="584">
        <f t="shared" si="2"/>
        <v>35811589</v>
      </c>
    </row>
    <row r="33" spans="1:7" s="365" customFormat="1">
      <c r="A33" s="583" t="s">
        <v>651</v>
      </c>
      <c r="B33" s="584">
        <v>0</v>
      </c>
      <c r="C33" s="585">
        <v>181468969</v>
      </c>
      <c r="D33" s="584">
        <f t="shared" si="0"/>
        <v>181468969</v>
      </c>
      <c r="E33" s="586">
        <v>0</v>
      </c>
      <c r="F33" s="587">
        <v>125579233</v>
      </c>
      <c r="G33" s="584">
        <f t="shared" si="2"/>
        <v>125579233</v>
      </c>
    </row>
    <row r="34" spans="1:7" s="365" customFormat="1">
      <c r="A34" s="583" t="s">
        <v>652</v>
      </c>
      <c r="B34" s="584">
        <v>0</v>
      </c>
      <c r="C34" s="585">
        <v>24500000</v>
      </c>
      <c r="D34" s="584">
        <f t="shared" si="0"/>
        <v>24500000</v>
      </c>
      <c r="E34" s="586">
        <v>0</v>
      </c>
      <c r="F34" s="586">
        <v>0</v>
      </c>
      <c r="G34" s="584">
        <f t="shared" si="2"/>
        <v>0</v>
      </c>
    </row>
    <row r="35" spans="1:7" s="365" customFormat="1">
      <c r="A35" s="583" t="s">
        <v>653</v>
      </c>
      <c r="B35" s="585">
        <v>848331577</v>
      </c>
      <c r="C35" s="585">
        <v>108751751</v>
      </c>
      <c r="D35" s="584">
        <f t="shared" si="0"/>
        <v>957083328</v>
      </c>
      <c r="E35" s="586">
        <v>507571547</v>
      </c>
      <c r="F35" s="586">
        <v>886364</v>
      </c>
      <c r="G35" s="584">
        <f t="shared" si="2"/>
        <v>508457911</v>
      </c>
    </row>
    <row r="36" spans="1:7" s="365" customFormat="1">
      <c r="A36" s="583" t="s">
        <v>654</v>
      </c>
      <c r="B36" s="584">
        <v>0</v>
      </c>
      <c r="C36" s="585">
        <v>164732607</v>
      </c>
      <c r="D36" s="584">
        <f t="shared" si="0"/>
        <v>164732607</v>
      </c>
      <c r="E36" s="586">
        <v>0</v>
      </c>
      <c r="F36" s="586">
        <v>145950532</v>
      </c>
      <c r="G36" s="584">
        <f t="shared" si="2"/>
        <v>145950532</v>
      </c>
    </row>
    <row r="37" spans="1:7" s="365" customFormat="1">
      <c r="A37" s="583" t="s">
        <v>655</v>
      </c>
      <c r="B37" s="584">
        <v>0</v>
      </c>
      <c r="C37" s="585">
        <v>365433953</v>
      </c>
      <c r="D37" s="584">
        <f t="shared" si="0"/>
        <v>365433953</v>
      </c>
      <c r="E37" s="586">
        <v>0</v>
      </c>
      <c r="F37" s="586">
        <v>423895809</v>
      </c>
      <c r="G37" s="584">
        <f t="shared" si="2"/>
        <v>423895809</v>
      </c>
    </row>
    <row r="38" spans="1:7" s="365" customFormat="1">
      <c r="A38" s="583" t="s">
        <v>656</v>
      </c>
      <c r="B38" s="584">
        <v>0</v>
      </c>
      <c r="C38" s="585">
        <v>901441668</v>
      </c>
      <c r="D38" s="584">
        <f t="shared" si="0"/>
        <v>901441668</v>
      </c>
      <c r="E38" s="586">
        <v>0</v>
      </c>
      <c r="F38" s="586">
        <v>680663299</v>
      </c>
      <c r="G38" s="584">
        <f t="shared" si="2"/>
        <v>680663299</v>
      </c>
    </row>
    <row r="39" spans="1:7" s="365" customFormat="1">
      <c r="A39" s="583" t="s">
        <v>657</v>
      </c>
      <c r="B39" s="584">
        <v>0</v>
      </c>
      <c r="C39" s="585">
        <v>4551526</v>
      </c>
      <c r="D39" s="584">
        <f t="shared" si="0"/>
        <v>4551526</v>
      </c>
      <c r="E39" s="586">
        <v>0</v>
      </c>
      <c r="F39" s="586">
        <v>2574964</v>
      </c>
      <c r="G39" s="584">
        <f t="shared" si="2"/>
        <v>2574964</v>
      </c>
    </row>
    <row r="40" spans="1:7" s="365" customFormat="1">
      <c r="A40" s="583" t="s">
        <v>658</v>
      </c>
      <c r="B40" s="584">
        <v>0</v>
      </c>
      <c r="C40" s="585">
        <v>0</v>
      </c>
      <c r="D40" s="584">
        <v>0</v>
      </c>
      <c r="E40" s="586">
        <v>0</v>
      </c>
      <c r="F40" s="586">
        <v>68384535</v>
      </c>
      <c r="G40" s="584">
        <v>68384535</v>
      </c>
    </row>
    <row r="41" spans="1:7" s="365" customFormat="1">
      <c r="A41" s="583" t="s">
        <v>659</v>
      </c>
      <c r="B41" s="584">
        <v>0</v>
      </c>
      <c r="C41" s="585">
        <v>0</v>
      </c>
      <c r="D41" s="584">
        <v>0</v>
      </c>
      <c r="E41" s="586">
        <v>0</v>
      </c>
      <c r="F41" s="586">
        <v>31166575</v>
      </c>
      <c r="G41" s="584">
        <v>695397322</v>
      </c>
    </row>
    <row r="42" spans="1:7" s="365" customFormat="1">
      <c r="A42" s="583" t="s">
        <v>660</v>
      </c>
      <c r="B42" s="584">
        <v>0</v>
      </c>
      <c r="C42" s="585">
        <v>0</v>
      </c>
      <c r="D42" s="584">
        <f t="shared" ref="D42:D52" si="3">+C42+B42</f>
        <v>0</v>
      </c>
      <c r="E42" s="586">
        <v>0</v>
      </c>
      <c r="F42" s="586">
        <v>0</v>
      </c>
      <c r="G42" s="584">
        <f t="shared" ref="G42:G52" si="4">SUM(E42:F42)</f>
        <v>0</v>
      </c>
    </row>
    <row r="43" spans="1:7" s="365" customFormat="1">
      <c r="A43" s="583" t="s">
        <v>661</v>
      </c>
      <c r="B43" s="584">
        <v>0</v>
      </c>
      <c r="C43" s="585">
        <v>87540757</v>
      </c>
      <c r="D43" s="584">
        <f t="shared" si="3"/>
        <v>87540757</v>
      </c>
      <c r="E43" s="586">
        <v>0</v>
      </c>
      <c r="F43" s="586">
        <v>71579097</v>
      </c>
      <c r="G43" s="584">
        <f t="shared" si="4"/>
        <v>71579097</v>
      </c>
    </row>
    <row r="44" spans="1:7" s="365" customFormat="1">
      <c r="A44" s="583" t="s">
        <v>662</v>
      </c>
      <c r="B44" s="584">
        <v>0</v>
      </c>
      <c r="C44" s="585">
        <v>42850242</v>
      </c>
      <c r="D44" s="584">
        <f t="shared" si="3"/>
        <v>42850242</v>
      </c>
      <c r="E44" s="586">
        <v>0</v>
      </c>
      <c r="F44" s="587">
        <v>29935088</v>
      </c>
      <c r="G44" s="584">
        <f t="shared" si="4"/>
        <v>29935088</v>
      </c>
    </row>
    <row r="45" spans="1:7" s="365" customFormat="1">
      <c r="A45" s="588" t="s">
        <v>663</v>
      </c>
      <c r="B45" s="584">
        <v>0</v>
      </c>
      <c r="C45" s="585">
        <v>519240942</v>
      </c>
      <c r="D45" s="584">
        <f t="shared" si="3"/>
        <v>519240942</v>
      </c>
      <c r="E45" s="584">
        <v>0</v>
      </c>
      <c r="F45" s="584">
        <v>470984256</v>
      </c>
      <c r="G45" s="584">
        <f t="shared" si="4"/>
        <v>470984256</v>
      </c>
    </row>
    <row r="46" spans="1:7" s="365" customFormat="1">
      <c r="A46" s="583" t="s">
        <v>664</v>
      </c>
      <c r="B46" s="584">
        <v>0</v>
      </c>
      <c r="C46" s="585">
        <v>224920163</v>
      </c>
      <c r="D46" s="584">
        <f t="shared" si="3"/>
        <v>224920163</v>
      </c>
      <c r="E46" s="584">
        <v>0</v>
      </c>
      <c r="F46" s="584">
        <v>286839845</v>
      </c>
      <c r="G46" s="584">
        <f t="shared" si="4"/>
        <v>286839845</v>
      </c>
    </row>
    <row r="47" spans="1:7" s="365" customFormat="1">
      <c r="A47" s="583" t="s">
        <v>665</v>
      </c>
      <c r="B47" s="584">
        <v>0</v>
      </c>
      <c r="C47" s="585">
        <v>221221375</v>
      </c>
      <c r="D47" s="584">
        <f t="shared" si="3"/>
        <v>221221375</v>
      </c>
      <c r="E47" s="586">
        <v>0</v>
      </c>
      <c r="F47" s="586">
        <v>17780363</v>
      </c>
      <c r="G47" s="584">
        <f t="shared" si="4"/>
        <v>17780363</v>
      </c>
    </row>
    <row r="48" spans="1:7" s="365" customFormat="1">
      <c r="A48" s="583" t="s">
        <v>666</v>
      </c>
      <c r="B48" s="584">
        <v>0</v>
      </c>
      <c r="C48" s="585">
        <v>990052</v>
      </c>
      <c r="D48" s="584">
        <f t="shared" si="3"/>
        <v>990052</v>
      </c>
      <c r="E48" s="586">
        <v>0</v>
      </c>
      <c r="F48" s="586">
        <v>1074368</v>
      </c>
      <c r="G48" s="584">
        <f t="shared" si="4"/>
        <v>1074368</v>
      </c>
    </row>
    <row r="49" spans="1:7" s="365" customFormat="1">
      <c r="A49" s="588" t="s">
        <v>667</v>
      </c>
      <c r="B49" s="584">
        <v>0</v>
      </c>
      <c r="C49" s="585">
        <v>234942238</v>
      </c>
      <c r="D49" s="584">
        <f t="shared" si="3"/>
        <v>234942238</v>
      </c>
      <c r="E49" s="584">
        <v>0</v>
      </c>
      <c r="F49" s="584">
        <v>183139410</v>
      </c>
      <c r="G49" s="584">
        <f t="shared" si="4"/>
        <v>183139410</v>
      </c>
    </row>
    <row r="50" spans="1:7" s="365" customFormat="1" ht="13.5" customHeight="1">
      <c r="A50" s="583" t="s">
        <v>668</v>
      </c>
      <c r="B50" s="584">
        <v>685058865</v>
      </c>
      <c r="C50" s="584">
        <v>0</v>
      </c>
      <c r="D50" s="584">
        <f t="shared" si="3"/>
        <v>685058865</v>
      </c>
      <c r="E50" s="586">
        <v>734109120</v>
      </c>
      <c r="F50" s="586">
        <v>0</v>
      </c>
      <c r="G50" s="584">
        <f t="shared" si="4"/>
        <v>734109120</v>
      </c>
    </row>
    <row r="51" spans="1:7" s="365" customFormat="1">
      <c r="A51" s="583" t="s">
        <v>669</v>
      </c>
      <c r="B51" s="584">
        <v>547939169</v>
      </c>
      <c r="C51" s="584">
        <v>0</v>
      </c>
      <c r="D51" s="584">
        <f t="shared" si="3"/>
        <v>547939169</v>
      </c>
      <c r="E51" s="586">
        <v>499893265</v>
      </c>
      <c r="F51" s="586">
        <v>0</v>
      </c>
      <c r="G51" s="584">
        <f t="shared" si="4"/>
        <v>499893265</v>
      </c>
    </row>
    <row r="52" spans="1:7" s="365" customFormat="1" ht="13.5" customHeight="1">
      <c r="A52" s="583" t="s">
        <v>670</v>
      </c>
      <c r="B52" s="584">
        <f>825953766+206454177+459887104</f>
        <v>1492295047</v>
      </c>
      <c r="C52" s="584">
        <v>0</v>
      </c>
      <c r="D52" s="584">
        <f t="shared" si="3"/>
        <v>1492295047</v>
      </c>
      <c r="E52" s="584">
        <f>731700589+264345860+357188312</f>
        <v>1353234761</v>
      </c>
      <c r="F52" s="584">
        <v>0</v>
      </c>
      <c r="G52" s="584">
        <f t="shared" si="4"/>
        <v>1353234761</v>
      </c>
    </row>
    <row r="53" spans="1:7" s="365" customFormat="1" ht="13.5" customHeight="1">
      <c r="A53" s="583" t="s">
        <v>671</v>
      </c>
      <c r="B53" s="584">
        <v>2283745933</v>
      </c>
      <c r="C53" s="584">
        <v>0</v>
      </c>
      <c r="D53" s="584">
        <v>0</v>
      </c>
      <c r="E53" s="584">
        <v>2495027692</v>
      </c>
      <c r="F53" s="584">
        <v>0</v>
      </c>
      <c r="G53" s="584">
        <v>2495027692</v>
      </c>
    </row>
    <row r="54" spans="1:7" s="365" customFormat="1" ht="13.5" customHeight="1">
      <c r="A54" s="583" t="s">
        <v>672</v>
      </c>
      <c r="B54" s="585">
        <v>61640333</v>
      </c>
      <c r="C54" s="584">
        <v>0</v>
      </c>
      <c r="D54" s="584">
        <f>+C54+B54</f>
        <v>61640333</v>
      </c>
      <c r="E54" s="586">
        <v>137087109</v>
      </c>
      <c r="F54" s="587">
        <v>0</v>
      </c>
      <c r="G54" s="584">
        <f>SUM(E54:F54)</f>
        <v>137087109</v>
      </c>
    </row>
    <row r="55" spans="1:7" s="365" customFormat="1" ht="13.5" customHeight="1">
      <c r="A55" s="583" t="s">
        <v>673</v>
      </c>
      <c r="B55" s="584">
        <f>146813639+37326422</f>
        <v>184140061</v>
      </c>
      <c r="C55" s="584">
        <v>0</v>
      </c>
      <c r="D55" s="584">
        <f>+C55+B55</f>
        <v>184140061</v>
      </c>
      <c r="E55" s="586">
        <v>145838230</v>
      </c>
      <c r="F55" s="586">
        <v>0</v>
      </c>
      <c r="G55" s="584">
        <f>SUM(E55:F55)</f>
        <v>145838230</v>
      </c>
    </row>
    <row r="56" spans="1:7" s="365" customFormat="1" ht="13.5" customHeight="1">
      <c r="A56" s="583" t="s">
        <v>674</v>
      </c>
      <c r="B56" s="585">
        <v>34220059</v>
      </c>
      <c r="C56" s="584">
        <v>0</v>
      </c>
      <c r="D56" s="584">
        <f>+C56+B56</f>
        <v>34220059</v>
      </c>
      <c r="E56" s="586">
        <v>74183001</v>
      </c>
      <c r="F56" s="586">
        <v>0</v>
      </c>
      <c r="G56" s="584">
        <f>SUM(E56:F56)</f>
        <v>74183001</v>
      </c>
    </row>
    <row r="57" spans="1:7" s="365" customFormat="1" ht="13.5" customHeight="1">
      <c r="A57" s="583" t="s">
        <v>675</v>
      </c>
      <c r="B57" s="585">
        <v>577984847</v>
      </c>
      <c r="C57" s="584">
        <v>0</v>
      </c>
      <c r="D57" s="584">
        <v>0</v>
      </c>
      <c r="E57" s="586">
        <v>347924404</v>
      </c>
      <c r="F57" s="586">
        <v>0</v>
      </c>
      <c r="G57" s="584">
        <v>347924404</v>
      </c>
    </row>
    <row r="58" spans="1:7" s="365" customFormat="1" ht="13.5" customHeight="1">
      <c r="A58" s="583" t="s">
        <v>676</v>
      </c>
      <c r="B58" s="585">
        <v>168238843</v>
      </c>
      <c r="C58" s="584">
        <v>0</v>
      </c>
      <c r="D58" s="584">
        <v>0</v>
      </c>
      <c r="E58" s="586">
        <v>260892623</v>
      </c>
      <c r="F58" s="586">
        <v>0</v>
      </c>
      <c r="G58" s="584">
        <v>260892623</v>
      </c>
    </row>
    <row r="59" spans="1:7" s="365" customFormat="1">
      <c r="A59" s="583" t="s">
        <v>677</v>
      </c>
      <c r="B59" s="584">
        <f>134609995+256160724</f>
        <v>390770719</v>
      </c>
      <c r="C59" s="584">
        <v>0</v>
      </c>
      <c r="D59" s="584">
        <f>+C59+B59</f>
        <v>390770719</v>
      </c>
      <c r="E59" s="586">
        <v>254630249</v>
      </c>
      <c r="F59" s="586">
        <v>0</v>
      </c>
      <c r="G59" s="584">
        <f>SUM(E59:F59)</f>
        <v>254630249</v>
      </c>
    </row>
    <row r="60" spans="1:7" s="365" customFormat="1">
      <c r="A60" s="583" t="s">
        <v>678</v>
      </c>
      <c r="B60" s="584">
        <v>165577207</v>
      </c>
      <c r="C60" s="584">
        <v>0</v>
      </c>
      <c r="D60" s="584">
        <v>0</v>
      </c>
      <c r="E60" s="586">
        <v>192176327</v>
      </c>
      <c r="F60" s="586">
        <v>0</v>
      </c>
      <c r="G60" s="584">
        <v>192176327</v>
      </c>
    </row>
    <row r="61" spans="1:7" s="365" customFormat="1">
      <c r="A61" s="583" t="s">
        <v>679</v>
      </c>
      <c r="B61" s="585">
        <v>110209665</v>
      </c>
      <c r="C61" s="584">
        <v>0</v>
      </c>
      <c r="D61" s="584">
        <f t="shared" ref="D61:D71" si="5">+C61+B61</f>
        <v>110209665</v>
      </c>
      <c r="E61" s="586">
        <v>35568601</v>
      </c>
      <c r="F61" s="586">
        <v>0</v>
      </c>
      <c r="G61" s="584">
        <f t="shared" ref="G61:G71" si="6">SUM(E61:F61)</f>
        <v>35568601</v>
      </c>
    </row>
    <row r="62" spans="1:7" s="365" customFormat="1">
      <c r="A62" s="583" t="s">
        <v>680</v>
      </c>
      <c r="B62" s="585">
        <v>93624012</v>
      </c>
      <c r="C62" s="584">
        <v>0</v>
      </c>
      <c r="D62" s="584">
        <f t="shared" si="5"/>
        <v>93624012</v>
      </c>
      <c r="E62" s="586">
        <v>89539065</v>
      </c>
      <c r="F62" s="586">
        <v>0</v>
      </c>
      <c r="G62" s="584">
        <f t="shared" si="6"/>
        <v>89539065</v>
      </c>
    </row>
    <row r="63" spans="1:7" s="365" customFormat="1" ht="13.5" customHeight="1">
      <c r="A63" s="583" t="s">
        <v>681</v>
      </c>
      <c r="B63" s="585">
        <v>18788609</v>
      </c>
      <c r="C63" s="584">
        <v>0</v>
      </c>
      <c r="D63" s="584">
        <f t="shared" si="5"/>
        <v>18788609</v>
      </c>
      <c r="E63" s="586">
        <v>11629427</v>
      </c>
      <c r="F63" s="586">
        <v>0</v>
      </c>
      <c r="G63" s="584">
        <f t="shared" si="6"/>
        <v>11629427</v>
      </c>
    </row>
    <row r="64" spans="1:7" s="365" customFormat="1" ht="13.5" customHeight="1">
      <c r="A64" s="583" t="s">
        <v>682</v>
      </c>
      <c r="B64" s="585">
        <v>5359088</v>
      </c>
      <c r="C64" s="584">
        <v>0</v>
      </c>
      <c r="D64" s="584">
        <f t="shared" si="5"/>
        <v>5359088</v>
      </c>
      <c r="E64" s="586">
        <v>24662492</v>
      </c>
      <c r="F64" s="586">
        <v>0</v>
      </c>
      <c r="G64" s="584">
        <f t="shared" si="6"/>
        <v>24662492</v>
      </c>
    </row>
    <row r="65" spans="1:7" s="365" customFormat="1">
      <c r="A65" s="583" t="s">
        <v>683</v>
      </c>
      <c r="B65" s="585">
        <v>35663935</v>
      </c>
      <c r="C65" s="584">
        <v>0</v>
      </c>
      <c r="D65" s="584">
        <f t="shared" si="5"/>
        <v>35663935</v>
      </c>
      <c r="E65" s="584">
        <v>26807560</v>
      </c>
      <c r="F65" s="586">
        <v>0</v>
      </c>
      <c r="G65" s="584">
        <f t="shared" si="6"/>
        <v>26807560</v>
      </c>
    </row>
    <row r="66" spans="1:7" s="365" customFormat="1">
      <c r="A66" s="583" t="s">
        <v>684</v>
      </c>
      <c r="B66" s="585">
        <v>119822508</v>
      </c>
      <c r="C66" s="584">
        <v>0</v>
      </c>
      <c r="D66" s="584">
        <f t="shared" si="5"/>
        <v>119822508</v>
      </c>
      <c r="E66" s="586">
        <v>201644979</v>
      </c>
      <c r="F66" s="586">
        <v>0</v>
      </c>
      <c r="G66" s="584">
        <f t="shared" si="6"/>
        <v>201644979</v>
      </c>
    </row>
    <row r="67" spans="1:7" s="365" customFormat="1" ht="13.5" customHeight="1">
      <c r="A67" s="583" t="s">
        <v>685</v>
      </c>
      <c r="B67" s="585">
        <v>185971698</v>
      </c>
      <c r="C67" s="584">
        <v>0</v>
      </c>
      <c r="D67" s="584">
        <f t="shared" si="5"/>
        <v>185971698</v>
      </c>
      <c r="E67" s="586">
        <v>138274983</v>
      </c>
      <c r="F67" s="586">
        <v>0</v>
      </c>
      <c r="G67" s="584">
        <f t="shared" si="6"/>
        <v>138274983</v>
      </c>
    </row>
    <row r="68" spans="1:7" s="365" customFormat="1" ht="13.5" customHeight="1">
      <c r="A68" s="583" t="s">
        <v>686</v>
      </c>
      <c r="B68" s="585">
        <v>4030613436</v>
      </c>
      <c r="C68" s="584">
        <v>0</v>
      </c>
      <c r="D68" s="584">
        <f t="shared" si="5"/>
        <v>4030613436</v>
      </c>
      <c r="E68" s="584">
        <v>2929582885</v>
      </c>
      <c r="F68" s="584">
        <v>0</v>
      </c>
      <c r="G68" s="584">
        <f t="shared" si="6"/>
        <v>2929582885</v>
      </c>
    </row>
    <row r="69" spans="1:7" s="365" customFormat="1">
      <c r="A69" s="583" t="s">
        <v>687</v>
      </c>
      <c r="B69" s="585">
        <v>150829591</v>
      </c>
      <c r="C69" s="584">
        <v>0</v>
      </c>
      <c r="D69" s="584">
        <f t="shared" si="5"/>
        <v>150829591</v>
      </c>
      <c r="E69" s="586">
        <v>140302650</v>
      </c>
      <c r="F69" s="586">
        <v>0</v>
      </c>
      <c r="G69" s="584">
        <f t="shared" si="6"/>
        <v>140302650</v>
      </c>
    </row>
    <row r="70" spans="1:7" s="365" customFormat="1" ht="13.5" customHeight="1">
      <c r="A70" s="583" t="s">
        <v>688</v>
      </c>
      <c r="B70" s="585">
        <v>643085437</v>
      </c>
      <c r="C70" s="584">
        <v>0</v>
      </c>
      <c r="D70" s="584">
        <f t="shared" si="5"/>
        <v>643085437</v>
      </c>
      <c r="E70" s="584">
        <v>695397322</v>
      </c>
      <c r="F70" s="584">
        <v>0</v>
      </c>
      <c r="G70" s="584">
        <f t="shared" si="6"/>
        <v>695397322</v>
      </c>
    </row>
    <row r="71" spans="1:7" s="365" customFormat="1">
      <c r="A71" s="583" t="s">
        <v>689</v>
      </c>
      <c r="B71" s="585">
        <v>0</v>
      </c>
      <c r="C71" s="584">
        <v>0</v>
      </c>
      <c r="D71" s="584">
        <f t="shared" si="5"/>
        <v>0</v>
      </c>
      <c r="E71" s="586">
        <v>19109135</v>
      </c>
      <c r="F71" s="587">
        <v>0</v>
      </c>
      <c r="G71" s="584">
        <f t="shared" si="6"/>
        <v>19109135</v>
      </c>
    </row>
    <row r="72" spans="1:7" s="365" customFormat="1" ht="13.5" customHeight="1">
      <c r="A72" s="583" t="s">
        <v>690</v>
      </c>
      <c r="B72" s="585">
        <v>84169884</v>
      </c>
      <c r="C72" s="584">
        <v>0</v>
      </c>
      <c r="D72" s="584">
        <v>0</v>
      </c>
      <c r="E72" s="584">
        <v>0</v>
      </c>
      <c r="F72" s="584">
        <v>0</v>
      </c>
      <c r="G72" s="584">
        <v>5164986401</v>
      </c>
    </row>
    <row r="73" spans="1:7" s="365" customFormat="1" ht="13.5" customHeight="1">
      <c r="A73" s="583" t="s">
        <v>691</v>
      </c>
      <c r="B73" s="584">
        <v>0</v>
      </c>
      <c r="C73" s="584">
        <v>917647715</v>
      </c>
      <c r="D73" s="584">
        <f>+C73+B73</f>
        <v>917647715</v>
      </c>
      <c r="E73" s="584">
        <v>0</v>
      </c>
      <c r="F73" s="584">
        <v>882555579</v>
      </c>
      <c r="G73" s="584">
        <f>SUM(E73:F73)</f>
        <v>882555579</v>
      </c>
    </row>
    <row r="74" spans="1:7" s="365" customFormat="1">
      <c r="A74" s="583" t="s">
        <v>692</v>
      </c>
      <c r="B74" s="584">
        <v>0</v>
      </c>
      <c r="C74" s="585">
        <v>1250000001</v>
      </c>
      <c r="D74" s="584">
        <f>+C74+B74</f>
        <v>1250000001</v>
      </c>
      <c r="E74" s="586">
        <v>0</v>
      </c>
      <c r="F74" s="586">
        <v>1302500034</v>
      </c>
      <c r="G74" s="584">
        <f>SUM(E74:F74)</f>
        <v>1302500034</v>
      </c>
    </row>
    <row r="75" spans="1:7" s="365" customFormat="1">
      <c r="A75" s="583" t="s">
        <v>693</v>
      </c>
      <c r="B75" s="584">
        <v>0</v>
      </c>
      <c r="C75" s="585">
        <v>761419422</v>
      </c>
      <c r="D75" s="584">
        <f>+C75+B75</f>
        <v>761419422</v>
      </c>
      <c r="E75" s="586">
        <v>0</v>
      </c>
      <c r="F75" s="586">
        <v>461943899</v>
      </c>
      <c r="G75" s="584">
        <f>SUM(E75:F75)</f>
        <v>461943899</v>
      </c>
    </row>
    <row r="76" spans="1:7" s="365" customFormat="1">
      <c r="A76" s="583" t="s">
        <v>694</v>
      </c>
      <c r="B76" s="584">
        <v>0</v>
      </c>
      <c r="C76" s="585">
        <v>200000001</v>
      </c>
      <c r="D76" s="584">
        <f>+C76+B76</f>
        <v>200000001</v>
      </c>
      <c r="E76" s="586">
        <v>0</v>
      </c>
      <c r="F76" s="586">
        <v>200000010</v>
      </c>
      <c r="G76" s="584">
        <f>SUM(E76:F76)</f>
        <v>200000010</v>
      </c>
    </row>
    <row r="77" spans="1:7" s="365" customFormat="1">
      <c r="A77" s="589" t="s">
        <v>257</v>
      </c>
      <c r="B77" s="590">
        <f>-SUM(B13:B76)</f>
        <v>-28120817721</v>
      </c>
      <c r="C77" s="590">
        <f>-SUM(C13:C76)</f>
        <v>-12971928357</v>
      </c>
      <c r="D77" s="590">
        <f>-SUM(D13:D76)</f>
        <v>-37813029364</v>
      </c>
      <c r="E77" s="590">
        <f>-SUM(E13:E76)</f>
        <v>-26879883518</v>
      </c>
      <c r="F77" s="590">
        <f>-SUM(F13:F76)</f>
        <v>-11872158839</v>
      </c>
      <c r="G77" s="590">
        <f>-SUM($G$17:G76)</f>
        <v>-28498527797</v>
      </c>
    </row>
    <row r="79" spans="1:7">
      <c r="C79" s="591"/>
    </row>
  </sheetData>
  <mergeCells count="2">
    <mergeCell ref="A6:H6"/>
    <mergeCell ref="A11:A12"/>
  </mergeCells>
  <hyperlinks>
    <hyperlink ref="G1" location="ER!A1" display="ER" xr:uid="{00000000-0004-0000-2000-000000000000}"/>
  </hyperlinks>
  <pageMargins left="0.7" right="0.7" top="0.75" bottom="0.75" header="0.511811023622047" footer="0.511811023622047"/>
  <pageSetup orientation="landscape"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T16"/>
  <sheetViews>
    <sheetView showGridLines="0" topLeftCell="A3" zoomScaleNormal="100" workbookViewId="0">
      <selection activeCell="B20" activeCellId="1" sqref="A166:A259 B20"/>
    </sheetView>
  </sheetViews>
  <sheetFormatPr baseColWidth="10" defaultColWidth="10.54296875" defaultRowHeight="14.5"/>
  <cols>
    <col min="1" max="1" width="38" style="162" customWidth="1"/>
    <col min="2" max="2" width="14.81640625" style="162" customWidth="1"/>
    <col min="3" max="3" width="15.81640625" style="162" customWidth="1"/>
    <col min="4" max="4" width="4.81640625" style="162" customWidth="1"/>
    <col min="5" max="5" width="24.54296875" style="162" customWidth="1"/>
    <col min="6" max="6" width="14.1796875" style="162" customWidth="1"/>
    <col min="7" max="7" width="14.54296875" style="162" customWidth="1"/>
    <col min="8" max="8" width="15.36328125" style="162" customWidth="1"/>
    <col min="9" max="20" width="11.453125" style="162" customWidth="1"/>
  </cols>
  <sheetData>
    <row r="1" spans="1:7" ht="26">
      <c r="A1" s="428" t="str">
        <f>Indice!C1</f>
        <v>KUROSU &amp; CIA. S.A.</v>
      </c>
      <c r="E1" s="298" t="s">
        <v>75</v>
      </c>
    </row>
    <row r="4" spans="1:7">
      <c r="A4" s="764" t="s">
        <v>695</v>
      </c>
      <c r="B4" s="764"/>
      <c r="C4" s="764"/>
      <c r="D4" s="764"/>
      <c r="E4" s="764"/>
      <c r="F4" s="251"/>
    </row>
    <row r="5" spans="1:7">
      <c r="A5" s="143"/>
      <c r="B5" s="592"/>
      <c r="C5" s="593"/>
      <c r="D5" s="593"/>
      <c r="E5" s="593"/>
      <c r="F5" s="251"/>
    </row>
    <row r="6" spans="1:7">
      <c r="A6" s="162" t="s">
        <v>378</v>
      </c>
      <c r="B6" s="780"/>
      <c r="C6" s="780"/>
      <c r="D6" s="593"/>
      <c r="E6" s="593"/>
      <c r="F6" s="251"/>
    </row>
    <row r="7" spans="1:7">
      <c r="A7" s="143"/>
      <c r="D7" s="593"/>
      <c r="E7" s="593"/>
      <c r="F7" s="251"/>
    </row>
    <row r="8" spans="1:7">
      <c r="A8" s="302" t="s">
        <v>696</v>
      </c>
      <c r="B8" s="366">
        <f>IFERROR(IF(Indice!B8="","2XX2",YEAR(Indice!B8)),"2XX2")</f>
        <v>2025</v>
      </c>
      <c r="C8" s="366">
        <f>+IFERROR(YEAR(Indice!B8-365),"2XX1")</f>
        <v>2024</v>
      </c>
      <c r="D8" s="593"/>
      <c r="E8" s="302" t="s">
        <v>697</v>
      </c>
      <c r="F8" s="366">
        <f>IFERROR(IF(Indice!B8="","2XX2",YEAR(Indice!B8)),"2XX2")</f>
        <v>2025</v>
      </c>
      <c r="G8" s="366">
        <f>+IFERROR(YEAR(Indice!B8-365),"2XX1")</f>
        <v>2024</v>
      </c>
    </row>
    <row r="9" spans="1:7">
      <c r="A9" s="162" t="s">
        <v>698</v>
      </c>
      <c r="B9" s="300">
        <v>4910904</v>
      </c>
      <c r="C9" s="594">
        <v>1277358</v>
      </c>
      <c r="D9" s="593"/>
      <c r="E9" s="162" t="s">
        <v>699</v>
      </c>
      <c r="F9" s="594">
        <v>642543</v>
      </c>
      <c r="G9" s="594">
        <v>0</v>
      </c>
    </row>
    <row r="10" spans="1:7">
      <c r="A10" s="162" t="s">
        <v>700</v>
      </c>
      <c r="B10" s="300">
        <v>5454545</v>
      </c>
      <c r="C10" s="594">
        <v>0</v>
      </c>
      <c r="D10" s="593"/>
      <c r="E10" s="162" t="s">
        <v>265</v>
      </c>
      <c r="F10" s="594">
        <v>1830305294</v>
      </c>
      <c r="G10" s="594">
        <v>1371245222</v>
      </c>
    </row>
    <row r="11" spans="1:7">
      <c r="A11" s="162" t="s">
        <v>701</v>
      </c>
      <c r="B11" s="300">
        <v>2136384</v>
      </c>
      <c r="C11" s="594">
        <v>1341181</v>
      </c>
      <c r="D11" s="593"/>
      <c r="E11" s="481" t="s">
        <v>257</v>
      </c>
      <c r="F11" s="595">
        <f>SUM($F$9:F10)</f>
        <v>1830947837</v>
      </c>
      <c r="G11" s="595">
        <f>SUM($G$9:G10)</f>
        <v>1371245222</v>
      </c>
    </row>
    <row r="12" spans="1:7">
      <c r="A12" s="162" t="s">
        <v>702</v>
      </c>
      <c r="B12" s="300">
        <v>21167131</v>
      </c>
      <c r="C12" s="594">
        <v>8319165</v>
      </c>
      <c r="D12" s="593"/>
    </row>
    <row r="13" spans="1:7">
      <c r="A13" s="162" t="s">
        <v>703</v>
      </c>
      <c r="B13" s="300">
        <v>15334705</v>
      </c>
      <c r="C13" s="594">
        <v>0</v>
      </c>
      <c r="D13" s="593"/>
    </row>
    <row r="14" spans="1:7">
      <c r="A14" s="143" t="s">
        <v>704</v>
      </c>
      <c r="B14" s="300">
        <v>109838635</v>
      </c>
      <c r="C14" s="594">
        <v>111786687</v>
      </c>
      <c r="D14" s="593"/>
    </row>
    <row r="15" spans="1:7">
      <c r="A15" s="162" t="s">
        <v>705</v>
      </c>
      <c r="B15" s="300">
        <v>95315015</v>
      </c>
      <c r="C15" s="594">
        <v>63970453</v>
      </c>
      <c r="D15" s="593"/>
      <c r="E15" s="593"/>
      <c r="F15" s="251"/>
      <c r="G15" s="596"/>
    </row>
    <row r="16" spans="1:7">
      <c r="A16" s="302" t="s">
        <v>257</v>
      </c>
      <c r="B16" s="595">
        <f>SUM($B$9:B15)</f>
        <v>254157319</v>
      </c>
      <c r="C16" s="595">
        <f>SUM($C$9:C15)</f>
        <v>186694844</v>
      </c>
    </row>
  </sheetData>
  <mergeCells count="2">
    <mergeCell ref="A4:E4"/>
    <mergeCell ref="B6:C6"/>
  </mergeCells>
  <hyperlinks>
    <hyperlink ref="E1" location="ER!A1" display="ER" xr:uid="{00000000-0004-0000-2100-000000000000}"/>
  </hyperlinks>
  <pageMargins left="0.7" right="0.7" top="0.75" bottom="0.75" header="0.511811023622047" footer="0.511811023622047"/>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O18"/>
  <sheetViews>
    <sheetView showGridLines="0" topLeftCell="A6" zoomScaleNormal="100" workbookViewId="0">
      <selection activeCell="A13" activeCellId="1" sqref="A166:A259 A13"/>
    </sheetView>
  </sheetViews>
  <sheetFormatPr baseColWidth="10" defaultColWidth="10.54296875" defaultRowHeight="14.5"/>
  <cols>
    <col min="1" max="1" width="35.81640625" style="162" customWidth="1"/>
    <col min="2" max="2" width="18.453125" style="162" customWidth="1"/>
    <col min="3" max="3" width="16.81640625" style="162" customWidth="1"/>
    <col min="4" max="4" width="11.453125" style="162" customWidth="1"/>
    <col min="5" max="5" width="32.1796875" style="162" customWidth="1"/>
    <col min="6" max="6" width="17.1796875" style="162" customWidth="1"/>
    <col min="7" max="7" width="16" style="162" customWidth="1"/>
    <col min="8" max="8" width="15.453125" style="162" customWidth="1"/>
    <col min="9" max="15" width="11.453125" style="162" customWidth="1"/>
  </cols>
  <sheetData>
    <row r="1" spans="1:7" ht="26">
      <c r="A1" s="428" t="str">
        <f>Indice!C1</f>
        <v>KUROSU &amp; CIA. S.A.</v>
      </c>
      <c r="E1" s="298" t="s">
        <v>75</v>
      </c>
    </row>
    <row r="5" spans="1:7">
      <c r="A5" s="212" t="s">
        <v>706</v>
      </c>
      <c r="B5" s="212"/>
      <c r="C5" s="212"/>
      <c r="D5" s="212"/>
      <c r="E5" s="212"/>
      <c r="F5" s="212"/>
      <c r="G5" s="212"/>
    </row>
    <row r="6" spans="1:7">
      <c r="A6" s="287" t="s">
        <v>378</v>
      </c>
    </row>
    <row r="7" spans="1:7">
      <c r="C7" s="568"/>
    </row>
    <row r="8" spans="1:7">
      <c r="A8" s="391" t="s">
        <v>707</v>
      </c>
      <c r="B8" s="366">
        <f>IFERROR(IF(Indice!B8="","2XX2",YEAR(Indice!B8)),"2XX2")</f>
        <v>2025</v>
      </c>
      <c r="C8" s="366">
        <f>+IFERROR(YEAR(Indice!B8-730),"2XX1")</f>
        <v>2023</v>
      </c>
      <c r="E8" s="391" t="s">
        <v>708</v>
      </c>
      <c r="F8" s="366">
        <f>IFERROR(IF(Indice!B8="","2XX2",YEAR(Indice!B8)),"2XX2")</f>
        <v>2025</v>
      </c>
      <c r="G8" s="366">
        <f>+IFERROR(YEAR(Indice!B8-365),"2XX1")</f>
        <v>2024</v>
      </c>
    </row>
    <row r="9" spans="1:7">
      <c r="A9" s="162" t="s">
        <v>709</v>
      </c>
      <c r="B9" s="300">
        <v>4094574195</v>
      </c>
      <c r="C9" s="300">
        <v>2988704034</v>
      </c>
      <c r="E9" s="162" t="s">
        <v>710</v>
      </c>
      <c r="F9" s="543">
        <v>78192752</v>
      </c>
      <c r="G9" s="300">
        <v>490224332</v>
      </c>
    </row>
    <row r="10" spans="1:7">
      <c r="A10" s="162" t="s">
        <v>711</v>
      </c>
      <c r="B10" s="300">
        <v>133547628</v>
      </c>
      <c r="C10" s="300">
        <v>118200995</v>
      </c>
      <c r="E10" s="162" t="s">
        <v>712</v>
      </c>
      <c r="F10" s="543">
        <v>52978215</v>
      </c>
      <c r="G10" s="300">
        <v>43023297</v>
      </c>
    </row>
    <row r="11" spans="1:7">
      <c r="A11" s="162" t="s">
        <v>713</v>
      </c>
      <c r="B11" s="300">
        <v>1724969788</v>
      </c>
      <c r="C11" s="300">
        <v>553527525</v>
      </c>
      <c r="E11" s="162" t="s">
        <v>714</v>
      </c>
      <c r="F11" s="543">
        <v>36238629</v>
      </c>
      <c r="G11" s="300">
        <v>50428618</v>
      </c>
    </row>
    <row r="12" spans="1:7">
      <c r="A12" s="162" t="s">
        <v>715</v>
      </c>
      <c r="B12" s="300">
        <v>50662776542</v>
      </c>
      <c r="C12" s="300">
        <v>56221685750</v>
      </c>
      <c r="E12" s="162" t="s">
        <v>716</v>
      </c>
      <c r="F12" s="543">
        <v>1647010750</v>
      </c>
      <c r="G12" s="300">
        <v>2024360139</v>
      </c>
    </row>
    <row r="13" spans="1:7">
      <c r="A13" s="162" t="s">
        <v>717</v>
      </c>
      <c r="B13" s="300">
        <v>595639906</v>
      </c>
      <c r="C13" s="300">
        <v>103191003</v>
      </c>
      <c r="E13" s="162" t="s">
        <v>718</v>
      </c>
      <c r="F13" s="543">
        <v>3631530</v>
      </c>
      <c r="G13" s="300">
        <v>162030079</v>
      </c>
    </row>
    <row r="14" spans="1:7">
      <c r="A14" s="391" t="s">
        <v>719</v>
      </c>
      <c r="B14" s="597">
        <f>SUM($B9:B13)</f>
        <v>57211508059</v>
      </c>
      <c r="C14" s="597">
        <f>SUM($C9:C13)</f>
        <v>59985309307</v>
      </c>
      <c r="E14" s="162" t="s">
        <v>720</v>
      </c>
      <c r="F14" s="543">
        <v>6632922504</v>
      </c>
      <c r="G14" s="300">
        <v>8266724632</v>
      </c>
    </row>
    <row r="15" spans="1:7">
      <c r="E15" s="162" t="s">
        <v>721</v>
      </c>
      <c r="F15" s="543">
        <v>219287112</v>
      </c>
      <c r="G15" s="300">
        <v>0</v>
      </c>
    </row>
    <row r="16" spans="1:7">
      <c r="E16" s="143" t="s">
        <v>722</v>
      </c>
      <c r="F16" s="543">
        <v>212105676</v>
      </c>
      <c r="G16" s="300">
        <v>0</v>
      </c>
    </row>
    <row r="17" spans="5:7">
      <c r="E17" s="513" t="s">
        <v>723</v>
      </c>
      <c r="F17" s="598">
        <v>49126301538</v>
      </c>
      <c r="G17" s="563">
        <v>58398787955</v>
      </c>
    </row>
    <row r="18" spans="5:7">
      <c r="E18" s="391" t="s">
        <v>724</v>
      </c>
      <c r="F18" s="599">
        <f>-SUM($F9:F17)</f>
        <v>-58008668706</v>
      </c>
      <c r="G18" s="599">
        <f>-SUM($G9:G17)</f>
        <v>-69435579052</v>
      </c>
    </row>
  </sheetData>
  <hyperlinks>
    <hyperlink ref="E1" location="ER!A1" display="ER" xr:uid="{00000000-0004-0000-2200-000000000000}"/>
  </hyperlinks>
  <pageMargins left="0.7" right="0.7" top="0.75" bottom="0.75" header="0.511811023622047" footer="0.511811023622047"/>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Y9"/>
  <sheetViews>
    <sheetView zoomScaleNormal="100" workbookViewId="0">
      <selection activeCell="E15" activeCellId="1" sqref="A166:A259 E15"/>
    </sheetView>
  </sheetViews>
  <sheetFormatPr baseColWidth="10" defaultColWidth="10.54296875" defaultRowHeight="14.5"/>
  <cols>
    <col min="1" max="1" width="38" style="162" customWidth="1"/>
    <col min="2" max="2" width="16.54296875" style="162" customWidth="1"/>
    <col min="3" max="3" width="18.453125" style="162" customWidth="1"/>
    <col min="4" max="25" width="11.453125" style="162" customWidth="1"/>
  </cols>
  <sheetData>
    <row r="1" spans="1:5" ht="26">
      <c r="A1" s="428" t="str">
        <f>Indice!C1</f>
        <v>KUROSU &amp; CIA. S.A.</v>
      </c>
      <c r="E1" s="298" t="s">
        <v>75</v>
      </c>
    </row>
    <row r="4" spans="1:5" ht="15.75" customHeight="1">
      <c r="A4" s="212" t="s">
        <v>725</v>
      </c>
      <c r="B4" s="286"/>
      <c r="C4" s="286"/>
      <c r="D4" s="286"/>
      <c r="E4" s="286"/>
    </row>
    <row r="5" spans="1:5" ht="15.75" customHeight="1">
      <c r="A5" s="350" t="s">
        <v>378</v>
      </c>
      <c r="B5" s="600"/>
      <c r="C5" s="601"/>
      <c r="D5" s="601"/>
      <c r="E5" s="601"/>
    </row>
    <row r="6" spans="1:5">
      <c r="A6" s="143"/>
      <c r="D6" s="593"/>
      <c r="E6" s="593"/>
    </row>
    <row r="7" spans="1:5">
      <c r="A7" s="302" t="s">
        <v>88</v>
      </c>
      <c r="B7" s="366">
        <f>IFERROR(IF(Indice!B8="","2XX2",YEAR(Indice!B8)),"2XX2")</f>
        <v>2025</v>
      </c>
      <c r="C7" s="366">
        <f>+IFERROR(YEAR(Indice!B8-365),"2XX1")</f>
        <v>2024</v>
      </c>
      <c r="D7" s="593"/>
      <c r="E7" s="593"/>
    </row>
    <row r="8" spans="1:5">
      <c r="A8" s="143" t="s">
        <v>726</v>
      </c>
      <c r="B8" s="602">
        <v>0</v>
      </c>
      <c r="C8" s="602">
        <v>0</v>
      </c>
      <c r="D8" s="593"/>
      <c r="E8" s="593"/>
    </row>
    <row r="9" spans="1:5">
      <c r="A9" s="302" t="s">
        <v>257</v>
      </c>
      <c r="B9" s="603">
        <f>SUM($B8:B8)</f>
        <v>0</v>
      </c>
      <c r="C9" s="603">
        <f>SUM($C8:C8)</f>
        <v>0</v>
      </c>
      <c r="D9" s="593"/>
      <c r="E9" s="593"/>
    </row>
  </sheetData>
  <hyperlinks>
    <hyperlink ref="E1" location="ER!A1" display="ER" xr:uid="{00000000-0004-0000-2300-000000000000}"/>
  </hyperlinks>
  <pageMargins left="0.7" right="0.7" top="0.75" bottom="0.75" header="0.511811023622047" footer="0.511811023622047"/>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V9"/>
  <sheetViews>
    <sheetView zoomScaleNormal="100" workbookViewId="0">
      <selection activeCell="F14" activeCellId="1" sqref="A166:A259 F14"/>
    </sheetView>
  </sheetViews>
  <sheetFormatPr baseColWidth="10" defaultColWidth="10.54296875" defaultRowHeight="14.5"/>
  <cols>
    <col min="1" max="1" width="38" style="162" customWidth="1"/>
    <col min="2" max="2" width="18.453125" style="162" customWidth="1"/>
    <col min="3" max="3" width="17.81640625" style="162" customWidth="1"/>
    <col min="4" max="22" width="11.453125" style="162" customWidth="1"/>
  </cols>
  <sheetData>
    <row r="1" spans="1:5" ht="26">
      <c r="A1" s="428" t="str">
        <f>Indice!C1</f>
        <v>KUROSU &amp; CIA. S.A.</v>
      </c>
      <c r="E1" s="298" t="s">
        <v>75</v>
      </c>
    </row>
    <row r="4" spans="1:5">
      <c r="A4" s="212" t="s">
        <v>727</v>
      </c>
      <c r="B4" s="212"/>
      <c r="C4" s="212"/>
      <c r="D4" s="212"/>
      <c r="E4" s="212"/>
    </row>
    <row r="5" spans="1:5">
      <c r="A5" s="781" t="s">
        <v>378</v>
      </c>
      <c r="B5" s="781"/>
      <c r="C5" s="593"/>
      <c r="D5" s="593"/>
      <c r="E5" s="593"/>
    </row>
    <row r="6" spans="1:5">
      <c r="A6" s="143"/>
      <c r="D6" s="593"/>
      <c r="E6" s="593"/>
    </row>
    <row r="7" spans="1:5">
      <c r="A7" s="302" t="s">
        <v>90</v>
      </c>
      <c r="B7" s="366">
        <f>IFERROR(IF(Indice!B8="","2XX2",YEAR(Indice!B8)),"2XX2")</f>
        <v>2025</v>
      </c>
      <c r="C7" s="366">
        <f>+IFERROR(YEAR(Indice!B8-730),"2XX1")</f>
        <v>2023</v>
      </c>
      <c r="D7" s="593"/>
      <c r="E7" s="593"/>
    </row>
    <row r="8" spans="1:5">
      <c r="A8" s="143"/>
      <c r="B8" s="252">
        <v>0</v>
      </c>
      <c r="C8" s="252">
        <v>0</v>
      </c>
      <c r="D8" s="593"/>
      <c r="E8" s="593"/>
    </row>
    <row r="9" spans="1:5">
      <c r="A9" s="302" t="s">
        <v>257</v>
      </c>
      <c r="B9" s="302">
        <f>SUM($B8:B8)</f>
        <v>0</v>
      </c>
      <c r="C9" s="302">
        <f>SUM($C8:C8)</f>
        <v>0</v>
      </c>
      <c r="D9" s="593"/>
      <c r="E9" s="593"/>
    </row>
  </sheetData>
  <mergeCells count="1">
    <mergeCell ref="A5:B5"/>
  </mergeCells>
  <hyperlinks>
    <hyperlink ref="E1" location="ER!A1" display="ER" xr:uid="{00000000-0004-0000-2400-000000000000}"/>
  </hyperlinks>
  <pageMargins left="0.7" right="0.7" top="0.75" bottom="0.75" header="0.511811023622047" footer="0.511811023622047"/>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9"/>
  <sheetViews>
    <sheetView zoomScaleNormal="100" workbookViewId="0">
      <selection activeCell="F14" activeCellId="1" sqref="A166:A259 F14"/>
    </sheetView>
  </sheetViews>
  <sheetFormatPr baseColWidth="10" defaultColWidth="10.54296875" defaultRowHeight="14.5"/>
  <cols>
    <col min="1" max="1" width="37.453125" style="162" customWidth="1"/>
    <col min="2" max="3" width="17.1796875" style="162" customWidth="1"/>
    <col min="4" max="26" width="11.453125" style="162" customWidth="1"/>
  </cols>
  <sheetData>
    <row r="1" spans="1:5" ht="26">
      <c r="A1" s="428" t="str">
        <f>Indice!C1</f>
        <v>KUROSU &amp; CIA. S.A.</v>
      </c>
      <c r="E1" s="298" t="s">
        <v>75</v>
      </c>
    </row>
    <row r="4" spans="1:5">
      <c r="A4" s="357" t="s">
        <v>728</v>
      </c>
      <c r="B4" s="357"/>
      <c r="C4" s="357"/>
      <c r="D4" s="357"/>
      <c r="E4" s="357"/>
    </row>
    <row r="5" spans="1:5">
      <c r="A5" s="143" t="s">
        <v>471</v>
      </c>
      <c r="B5" s="592"/>
      <c r="C5" s="593"/>
      <c r="D5" s="593"/>
      <c r="E5" s="593"/>
    </row>
    <row r="6" spans="1:5">
      <c r="A6" s="143"/>
      <c r="B6" s="780"/>
      <c r="C6" s="780"/>
      <c r="D6" s="593"/>
      <c r="E6" s="593"/>
    </row>
    <row r="7" spans="1:5">
      <c r="A7" s="302" t="s">
        <v>729</v>
      </c>
      <c r="B7" s="366">
        <f>IFERROR(IF(Indice!B8="","2XX2",YEAR(Indice!B8)),"2XX2")</f>
        <v>2025</v>
      </c>
      <c r="C7" s="366">
        <f>+IFERROR(YEAR(Indice!B8-365),"2XX1")</f>
        <v>2024</v>
      </c>
      <c r="D7" s="593"/>
      <c r="E7" s="593"/>
    </row>
    <row r="8" spans="1:5">
      <c r="A8" s="302" t="s">
        <v>92</v>
      </c>
      <c r="B8" s="604">
        <v>4288213428</v>
      </c>
      <c r="C8" s="604">
        <v>3157066036</v>
      </c>
      <c r="D8" s="593"/>
      <c r="E8" s="593"/>
    </row>
    <row r="9" spans="1:5">
      <c r="A9" s="302" t="s">
        <v>257</v>
      </c>
      <c r="B9" s="599">
        <f>-SUM($B8:B8)</f>
        <v>-4288213428</v>
      </c>
      <c r="C9" s="599">
        <f>-SUM($C8:C8)</f>
        <v>-3157066036</v>
      </c>
      <c r="D9" s="593"/>
      <c r="E9" s="593"/>
    </row>
  </sheetData>
  <mergeCells count="1">
    <mergeCell ref="B6:C6"/>
  </mergeCells>
  <hyperlinks>
    <hyperlink ref="E1" location="ER!A1" display="ER" xr:uid="{00000000-0004-0000-2500-000000000000}"/>
  </hyperlinks>
  <pageMargins left="0.7" right="0.7" top="0.75" bottom="0.75" header="0.511811023622047" footer="0.511811023622047"/>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V9"/>
  <sheetViews>
    <sheetView zoomScaleNormal="100" workbookViewId="0">
      <selection activeCell="C8" activeCellId="1" sqref="A166:A259 C8"/>
    </sheetView>
  </sheetViews>
  <sheetFormatPr baseColWidth="10" defaultColWidth="10.54296875" defaultRowHeight="14.5"/>
  <cols>
    <col min="1" max="1" width="56.453125" style="162" customWidth="1"/>
    <col min="2" max="2" width="18.453125" style="162" customWidth="1"/>
    <col min="3" max="3" width="17.81640625" style="162" customWidth="1"/>
    <col min="4" max="22" width="11.453125" style="162" customWidth="1"/>
  </cols>
  <sheetData>
    <row r="1" spans="1:5" ht="26">
      <c r="A1" s="428" t="str">
        <f>Indice!C1</f>
        <v>KUROSU &amp; CIA. S.A.</v>
      </c>
      <c r="E1" s="298" t="s">
        <v>75</v>
      </c>
    </row>
    <row r="4" spans="1:5">
      <c r="A4" s="212" t="s">
        <v>730</v>
      </c>
      <c r="B4" s="212"/>
      <c r="C4" s="212"/>
      <c r="D4" s="212"/>
      <c r="E4" s="212"/>
    </row>
    <row r="5" spans="1:5">
      <c r="A5" s="782" t="s">
        <v>378</v>
      </c>
      <c r="B5" s="782"/>
      <c r="C5" s="593"/>
      <c r="D5" s="593"/>
      <c r="E5" s="593"/>
    </row>
    <row r="6" spans="1:5">
      <c r="A6" s="143"/>
      <c r="D6" s="593"/>
      <c r="E6" s="593"/>
    </row>
    <row r="7" spans="1:5">
      <c r="A7" s="302" t="s">
        <v>729</v>
      </c>
      <c r="B7" s="366">
        <f>IFERROR(IF(Indice!B8="","2XX2",YEAR(Indice!B8)),"2XX2")</f>
        <v>2025</v>
      </c>
      <c r="C7" s="366">
        <f>+IFERROR(YEAR(Indice!B8-365),"2XX1")</f>
        <v>2024</v>
      </c>
      <c r="D7" s="593"/>
      <c r="E7" s="593"/>
    </row>
    <row r="8" spans="1:5">
      <c r="A8" s="143" t="s">
        <v>726</v>
      </c>
      <c r="B8" s="143">
        <v>0</v>
      </c>
      <c r="C8" s="143">
        <v>0</v>
      </c>
      <c r="D8" s="593"/>
      <c r="E8" s="593"/>
    </row>
    <row r="9" spans="1:5">
      <c r="A9" s="143" t="s">
        <v>257</v>
      </c>
      <c r="B9" s="605">
        <f>SUM($B8:B8)</f>
        <v>0</v>
      </c>
      <c r="C9" s="605">
        <f>SUM($C8:C8)</f>
        <v>0</v>
      </c>
      <c r="D9" s="593"/>
      <c r="E9" s="593"/>
    </row>
  </sheetData>
  <mergeCells count="1">
    <mergeCell ref="A5:B5"/>
  </mergeCells>
  <hyperlinks>
    <hyperlink ref="E1" location="ER!A1" display="ER" xr:uid="{00000000-0004-0000-2600-000000000000}"/>
  </hyperlink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47"/>
  <sheetViews>
    <sheetView showGridLines="0" topLeftCell="A18" zoomScaleNormal="100" workbookViewId="0">
      <selection activeCell="G27" sqref="G27"/>
    </sheetView>
  </sheetViews>
  <sheetFormatPr baseColWidth="10" defaultColWidth="11.453125" defaultRowHeight="14.5"/>
  <cols>
    <col min="1" max="1" width="66" style="75" customWidth="1"/>
    <col min="2" max="2" width="12.81640625" style="74" customWidth="1"/>
    <col min="3" max="3" width="25.453125" style="118" customWidth="1"/>
    <col min="4" max="4" width="24.81640625" style="118" customWidth="1"/>
    <col min="5" max="5" width="13.81640625" style="75" customWidth="1"/>
    <col min="6" max="6" width="12.453125" style="75" bestFit="1" customWidth="1"/>
    <col min="7" max="1024" width="11.453125" style="75"/>
  </cols>
  <sheetData>
    <row r="1" spans="1:6">
      <c r="A1" s="75" t="str">
        <f>Indice!C1</f>
        <v>KUROSU &amp; CIA. S.A.</v>
      </c>
      <c r="B1" s="64" t="s">
        <v>116</v>
      </c>
      <c r="D1" s="118" t="str">
        <f>ER!A4</f>
        <v xml:space="preserve"> </v>
      </c>
    </row>
    <row r="4" spans="1:6">
      <c r="A4" s="75" t="s">
        <v>234</v>
      </c>
    </row>
    <row r="6" spans="1:6">
      <c r="A6" s="94"/>
      <c r="B6" s="90"/>
      <c r="C6" s="119"/>
    </row>
    <row r="7" spans="1:6">
      <c r="A7" s="712" t="s">
        <v>235</v>
      </c>
      <c r="B7" s="712"/>
      <c r="C7" s="712"/>
      <c r="D7" s="712"/>
    </row>
    <row r="8" spans="1:6">
      <c r="A8" s="712" t="str">
        <f>IFERROR(IF(Indice!B8="","Al dia... de mes… de año 2XX2…","Al "&amp;DAY(Indice!B8)&amp;" de "&amp;VLOOKUP(MONTH(Indice!B8),Indice!S:T,2,0)&amp;" de "&amp;YEAR(Indice!B8)),"Al dia... de mes… de año 2XX2…")</f>
        <v>Al 31 de Marzo de 2025</v>
      </c>
      <c r="B8" s="712"/>
      <c r="C8" s="712"/>
      <c r="D8" s="712"/>
    </row>
    <row r="9" spans="1:6">
      <c r="A9" s="723" t="s">
        <v>1229</v>
      </c>
      <c r="B9" s="723"/>
      <c r="C9" s="723"/>
      <c r="D9" s="723"/>
    </row>
    <row r="10" spans="1:6">
      <c r="A10" s="723" t="s">
        <v>236</v>
      </c>
      <c r="B10" s="723"/>
      <c r="C10" s="723"/>
      <c r="D10" s="723"/>
    </row>
    <row r="11" spans="1:6">
      <c r="A11" s="121"/>
      <c r="B11" s="122"/>
      <c r="C11" s="123"/>
    </row>
    <row r="12" spans="1:6" ht="15.5">
      <c r="A12" s="124"/>
      <c r="B12" s="125" t="s">
        <v>211</v>
      </c>
      <c r="C12" s="126">
        <f>IFERROR(IF(Indice!B8="","2XX2",YEAR(Indice!B8)),"2XX2")</f>
        <v>2025</v>
      </c>
      <c r="D12" s="126">
        <f>IFERROR(YEAR(Indice!B8-365),"2XX1")</f>
        <v>2024</v>
      </c>
    </row>
    <row r="13" spans="1:6">
      <c r="A13" s="75" t="s">
        <v>76</v>
      </c>
      <c r="B13" s="77">
        <v>25</v>
      </c>
      <c r="C13" s="127">
        <f>'Nota 25'!B9</f>
        <v>334751720224</v>
      </c>
      <c r="D13" s="127">
        <f>'Nota 25'!C9</f>
        <v>374420857506</v>
      </c>
    </row>
    <row r="14" spans="1:6">
      <c r="A14" s="75" t="s">
        <v>78</v>
      </c>
      <c r="B14" s="77">
        <v>26</v>
      </c>
      <c r="C14" s="127">
        <f>'Nota 26'!B14</f>
        <v>-252221008985</v>
      </c>
      <c r="D14" s="127">
        <f>'Nota 26'!C14</f>
        <v>-295823269768</v>
      </c>
      <c r="F14" s="128"/>
    </row>
    <row r="15" spans="1:6">
      <c r="A15" s="129" t="s">
        <v>237</v>
      </c>
      <c r="B15" s="90"/>
      <c r="C15" s="130">
        <f>C13+C14</f>
        <v>82530711239</v>
      </c>
      <c r="D15" s="130">
        <f>D13+D14</f>
        <v>78597587738</v>
      </c>
    </row>
    <row r="16" spans="1:6">
      <c r="A16" s="75" t="s">
        <v>80</v>
      </c>
      <c r="B16" s="77">
        <v>27</v>
      </c>
      <c r="C16" s="127">
        <f>'Nota 27'!B77</f>
        <v>-28120817721</v>
      </c>
      <c r="D16" s="127">
        <f>'Nota 27'!E77</f>
        <v>-26879883518</v>
      </c>
    </row>
    <row r="17" spans="1:6">
      <c r="A17" s="75" t="s">
        <v>238</v>
      </c>
      <c r="B17" s="77">
        <v>27</v>
      </c>
      <c r="C17" s="127">
        <f>'Nota 27'!C77</f>
        <v>-12971928357</v>
      </c>
      <c r="D17" s="127">
        <f>'Nota 27'!F77</f>
        <v>-11872158839</v>
      </c>
    </row>
    <row r="18" spans="1:6">
      <c r="A18" s="75" t="s">
        <v>239</v>
      </c>
      <c r="B18" s="77">
        <v>28</v>
      </c>
      <c r="C18" s="130">
        <f>'Nota 28'!B16-'Nota 28'!F11</f>
        <v>-1576790518</v>
      </c>
      <c r="D18" s="130">
        <f>'Nota 28'!C16-'Nota 28'!G11</f>
        <v>-1184550378</v>
      </c>
    </row>
    <row r="19" spans="1:6">
      <c r="A19" s="129" t="s">
        <v>240</v>
      </c>
      <c r="B19" s="90"/>
      <c r="C19" s="130">
        <f>SUM(C15:C18)</f>
        <v>39861174643</v>
      </c>
      <c r="D19" s="130">
        <f>SUM(D15:D18)</f>
        <v>38660995003</v>
      </c>
    </row>
    <row r="20" spans="1:6">
      <c r="A20" s="75" t="s">
        <v>85</v>
      </c>
      <c r="B20" s="77">
        <v>29</v>
      </c>
      <c r="C20" s="130">
        <f>'Nota 29'!B14</f>
        <v>57211508059</v>
      </c>
      <c r="D20" s="130">
        <f>'Nota 29'!C14</f>
        <v>59985309307</v>
      </c>
      <c r="F20" s="128"/>
    </row>
    <row r="21" spans="1:6">
      <c r="A21" s="75" t="s">
        <v>241</v>
      </c>
      <c r="B21" s="77">
        <v>29</v>
      </c>
      <c r="C21" s="130">
        <f>'Nota 29'!F18</f>
        <v>-58008668706</v>
      </c>
      <c r="D21" s="130">
        <f>'Nota 29'!G18</f>
        <v>-69435579052</v>
      </c>
    </row>
    <row r="22" spans="1:6">
      <c r="A22" s="54" t="s">
        <v>196</v>
      </c>
      <c r="C22" s="130">
        <f>SUM(C19:C21)</f>
        <v>39064013996</v>
      </c>
      <c r="D22" s="130">
        <f>SUM(D19:D21)</f>
        <v>29210725258</v>
      </c>
    </row>
    <row r="23" spans="1:6">
      <c r="A23" s="75" t="s">
        <v>88</v>
      </c>
      <c r="B23" s="77">
        <v>30</v>
      </c>
      <c r="C23" s="130">
        <f>'Nota 30'!B9</f>
        <v>0</v>
      </c>
      <c r="D23" s="130">
        <f>'Nota 30'!C9</f>
        <v>0</v>
      </c>
    </row>
    <row r="24" spans="1:6" ht="26.5">
      <c r="A24" s="131" t="s">
        <v>242</v>
      </c>
      <c r="B24" s="90"/>
      <c r="C24" s="132">
        <f>C22+C23</f>
        <v>39064013996</v>
      </c>
      <c r="D24" s="132">
        <f>D22+D23</f>
        <v>29210725258</v>
      </c>
    </row>
    <row r="25" spans="1:6">
      <c r="A25" s="75" t="s">
        <v>90</v>
      </c>
      <c r="B25" s="77">
        <v>31</v>
      </c>
      <c r="C25" s="130">
        <f>'Nota 31'!B9</f>
        <v>0</v>
      </c>
      <c r="D25" s="130">
        <f>'Nota 31'!C9</f>
        <v>0</v>
      </c>
    </row>
    <row r="26" spans="1:6">
      <c r="A26" s="131" t="s">
        <v>243</v>
      </c>
      <c r="B26" s="90"/>
      <c r="C26" s="132">
        <f>C24</f>
        <v>39064013996</v>
      </c>
      <c r="D26" s="132">
        <f>D24</f>
        <v>29210725258</v>
      </c>
    </row>
    <row r="27" spans="1:6">
      <c r="A27" s="5" t="s">
        <v>92</v>
      </c>
      <c r="B27" s="64">
        <v>32</v>
      </c>
      <c r="C27" s="130">
        <f>'Nota 32'!B9</f>
        <v>-4288213428</v>
      </c>
      <c r="D27" s="130">
        <f>'Nota 32'!C9</f>
        <v>-3157066036</v>
      </c>
    </row>
    <row r="28" spans="1:6">
      <c r="A28" s="129" t="s">
        <v>244</v>
      </c>
      <c r="B28" s="90"/>
      <c r="C28" s="132">
        <f>C26+C27</f>
        <v>34775800568</v>
      </c>
      <c r="D28" s="132">
        <f>D26+D27</f>
        <v>26053659222</v>
      </c>
    </row>
    <row r="29" spans="1:6">
      <c r="A29" s="75" t="s">
        <v>94</v>
      </c>
      <c r="B29" s="77">
        <v>33</v>
      </c>
      <c r="C29" s="132">
        <f>'Nota 33'!B9</f>
        <v>0</v>
      </c>
      <c r="D29" s="132">
        <f>'Nota 33'!C9</f>
        <v>0</v>
      </c>
    </row>
    <row r="30" spans="1:6">
      <c r="A30" s="75" t="s">
        <v>96</v>
      </c>
      <c r="B30" s="77">
        <v>34</v>
      </c>
      <c r="C30" s="130">
        <f>'Nota 34'!B11</f>
        <v>0</v>
      </c>
      <c r="D30" s="130">
        <f>'Nota 34'!C11</f>
        <v>0</v>
      </c>
    </row>
    <row r="31" spans="1:6">
      <c r="A31" s="133" t="s">
        <v>245</v>
      </c>
      <c r="B31" s="91"/>
      <c r="C31" s="132">
        <f>C28+C29+C30</f>
        <v>34775800568</v>
      </c>
      <c r="D31" s="132">
        <f>D28+D29+D30</f>
        <v>26053659222</v>
      </c>
      <c r="E31" s="134"/>
      <c r="F31" s="134"/>
    </row>
    <row r="32" spans="1:6">
      <c r="A32" s="133" t="s">
        <v>100</v>
      </c>
      <c r="B32" s="77">
        <v>35</v>
      </c>
      <c r="C32" s="130">
        <f>'Nota 35'!B10</f>
        <v>695516.01136</v>
      </c>
      <c r="D32" s="130">
        <f>'Nota 35'!C10</f>
        <v>620325.21957142861</v>
      </c>
    </row>
    <row r="34" spans="1:4">
      <c r="A34" s="94"/>
      <c r="B34" s="90"/>
      <c r="C34" s="135"/>
      <c r="D34" s="135"/>
    </row>
    <row r="35" spans="1:4">
      <c r="A35" s="75" t="s">
        <v>233</v>
      </c>
    </row>
    <row r="41" spans="1:4">
      <c r="A41" s="136"/>
      <c r="B41" s="137"/>
      <c r="C41" s="722"/>
      <c r="D41" s="722"/>
    </row>
    <row r="42" spans="1:4">
      <c r="A42" s="138"/>
      <c r="B42" s="139"/>
      <c r="D42" s="135"/>
    </row>
    <row r="47" spans="1:4">
      <c r="A47" s="120"/>
      <c r="C47" s="722"/>
      <c r="D47" s="722"/>
    </row>
  </sheetData>
  <sheetProtection sheet="1" objects="1" scenarios="1"/>
  <mergeCells count="6">
    <mergeCell ref="C47:D47"/>
    <mergeCell ref="A7:D7"/>
    <mergeCell ref="A8:D8"/>
    <mergeCell ref="A9:D9"/>
    <mergeCell ref="A10:D10"/>
    <mergeCell ref="C41:D41"/>
  </mergeCells>
  <hyperlinks>
    <hyperlink ref="B1" location="Indice!A1" display="Indice" xr:uid="{00000000-0004-0000-0300-000000000000}"/>
    <hyperlink ref="B13" location="'Nota 25'!A1" display="#'Nota 25'.A1" xr:uid="{00000000-0004-0000-0300-000001000000}"/>
    <hyperlink ref="B14" location="'Nota 26'!A1" display="#'Nota 26'.A1" xr:uid="{00000000-0004-0000-0300-000002000000}"/>
    <hyperlink ref="B16" location="'Nota 27'!A1" display="#'Nota 27'.A1" xr:uid="{00000000-0004-0000-0300-000003000000}"/>
    <hyperlink ref="B17" location="'Nota 27'!A1" display="#'Nota 27'.A1" xr:uid="{00000000-0004-0000-0300-000004000000}"/>
    <hyperlink ref="B18" location="'Nota 28'!A1" display="#'Nota 28'.A1" xr:uid="{00000000-0004-0000-0300-000005000000}"/>
    <hyperlink ref="B20" location="'Nota 29'!A1" display="#'Nota 29'.A1" xr:uid="{00000000-0004-0000-0300-000006000000}"/>
    <hyperlink ref="B21" location="'Nota 29'!A1" display="#'Nota 29'.A1" xr:uid="{00000000-0004-0000-0300-000007000000}"/>
    <hyperlink ref="B23" location="'Nota 30'!A1" display="#'Nota 30'.A1" xr:uid="{00000000-0004-0000-0300-000008000000}"/>
    <hyperlink ref="B25" location="'Nota 31'!A1" display="#'Nota 31'.A1" xr:uid="{00000000-0004-0000-0300-000009000000}"/>
    <hyperlink ref="B27" location="'Nota 32'!A1" display="#'Nota 32'.A1" xr:uid="{00000000-0004-0000-0300-00000A000000}"/>
    <hyperlink ref="B29" location="'Nota 33'!A1" display="#'Nota 33'.A1" xr:uid="{00000000-0004-0000-0300-00000B000000}"/>
    <hyperlink ref="B30" location="'Nota 34'!A1" display="#'Nota 34'.A1" xr:uid="{00000000-0004-0000-0300-00000C000000}"/>
    <hyperlink ref="B32" location="'Nota 35'!A1" display="#'Nota 35'.A1" xr:uid="{00000000-0004-0000-0300-00000D000000}"/>
  </hyperlinks>
  <printOptions horizontalCentered="1"/>
  <pageMargins left="0.31527777777777799" right="0.70833333333333304" top="0.74791666666666701" bottom="0.74791666666666701" header="0.511811023622047" footer="0.511811023622047"/>
  <pageSetup paperSize="9" scale="70" orientation="portrait" horizontalDpi="300" verticalDpi="30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V11"/>
  <sheetViews>
    <sheetView zoomScaleNormal="100" workbookViewId="0">
      <selection activeCell="C8" activeCellId="1" sqref="A166:A259 C8"/>
    </sheetView>
  </sheetViews>
  <sheetFormatPr baseColWidth="10" defaultColWidth="10.54296875" defaultRowHeight="14.5"/>
  <cols>
    <col min="1" max="1" width="67.1796875" style="162" customWidth="1"/>
    <col min="2" max="2" width="18.1796875" style="162" customWidth="1"/>
    <col min="3" max="3" width="17.54296875" style="162" customWidth="1"/>
    <col min="4" max="22" width="11.453125" style="162" customWidth="1"/>
  </cols>
  <sheetData>
    <row r="1" spans="1:5" ht="26">
      <c r="A1" s="428" t="str">
        <f>Indice!C1</f>
        <v>KUROSU &amp; CIA. S.A.</v>
      </c>
      <c r="E1" s="298" t="s">
        <v>75</v>
      </c>
    </row>
    <row r="4" spans="1:5">
      <c r="A4" s="212" t="s">
        <v>731</v>
      </c>
      <c r="B4" s="212"/>
      <c r="C4" s="212"/>
      <c r="D4" s="163"/>
      <c r="E4" s="163"/>
    </row>
    <row r="5" spans="1:5">
      <c r="A5" s="782" t="s">
        <v>378</v>
      </c>
      <c r="B5" s="782"/>
      <c r="C5" s="593"/>
      <c r="D5" s="593"/>
      <c r="E5" s="593"/>
    </row>
    <row r="6" spans="1:5">
      <c r="A6" s="143"/>
      <c r="D6" s="593"/>
      <c r="E6" s="593"/>
    </row>
    <row r="7" spans="1:5" ht="15" customHeight="1">
      <c r="A7" s="606" t="s">
        <v>96</v>
      </c>
      <c r="B7" s="366">
        <f>IFERROR(IF(Indice!B8="","2XX2",YEAR(Indice!B8)),"2XX2")</f>
        <v>2025</v>
      </c>
      <c r="C7" s="366">
        <f>+IFERROR(YEAR(Indice!B8-365),"2XX1")</f>
        <v>2024</v>
      </c>
      <c r="D7" s="593"/>
      <c r="E7" s="593"/>
    </row>
    <row r="8" spans="1:5">
      <c r="A8" s="143" t="s">
        <v>732</v>
      </c>
      <c r="B8" s="143">
        <v>0</v>
      </c>
      <c r="C8" s="143">
        <v>0</v>
      </c>
      <c r="D8" s="593"/>
      <c r="E8" s="593"/>
    </row>
    <row r="9" spans="1:5">
      <c r="A9" s="302" t="s">
        <v>196</v>
      </c>
      <c r="B9" s="143">
        <v>0</v>
      </c>
      <c r="C9" s="143">
        <v>0</v>
      </c>
      <c r="D9" s="593"/>
      <c r="E9" s="593"/>
    </row>
    <row r="10" spans="1:5">
      <c r="A10" s="143" t="s">
        <v>733</v>
      </c>
      <c r="B10" s="252">
        <v>0</v>
      </c>
      <c r="C10" s="252">
        <v>0</v>
      </c>
      <c r="D10" s="593"/>
      <c r="E10" s="593"/>
    </row>
    <row r="11" spans="1:5">
      <c r="A11" s="302" t="s">
        <v>257</v>
      </c>
      <c r="B11" s="302">
        <f>SUM($B8:B10)</f>
        <v>0</v>
      </c>
      <c r="C11" s="302">
        <f>SUM($C8:C10)</f>
        <v>0</v>
      </c>
      <c r="D11" s="593"/>
      <c r="E11" s="593"/>
    </row>
  </sheetData>
  <mergeCells count="1">
    <mergeCell ref="A5:B5"/>
  </mergeCells>
  <hyperlinks>
    <hyperlink ref="E1" location="ER!A1" display="ER" xr:uid="{00000000-0004-0000-2700-000000000000}"/>
  </hyperlinks>
  <pageMargins left="0.7" right="0.7" top="0.75" bottom="0.75" header="0.511811023622047" footer="0.511811023622047"/>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I10"/>
  <sheetViews>
    <sheetView showGridLines="0" zoomScaleNormal="100" workbookViewId="0">
      <selection activeCell="E10" activeCellId="1" sqref="A166:A259 E10"/>
    </sheetView>
  </sheetViews>
  <sheetFormatPr baseColWidth="10" defaultColWidth="11.453125" defaultRowHeight="14.5"/>
  <cols>
    <col min="1" max="1" width="42.1796875" style="162" customWidth="1"/>
    <col min="2" max="3" width="24.453125" style="162" customWidth="1"/>
    <col min="4" max="4" width="11" style="162" customWidth="1"/>
    <col min="5" max="9" width="11.453125" style="162"/>
  </cols>
  <sheetData>
    <row r="1" spans="1:4" ht="26">
      <c r="A1" s="428" t="str">
        <f>Indice!C1</f>
        <v>KUROSU &amp; CIA. S.A.</v>
      </c>
      <c r="D1" s="298" t="s">
        <v>75</v>
      </c>
    </row>
    <row r="2" spans="1:4">
      <c r="C2" s="258"/>
    </row>
    <row r="4" spans="1:4">
      <c r="A4" s="286" t="s">
        <v>734</v>
      </c>
      <c r="B4" s="286"/>
      <c r="C4" s="286"/>
      <c r="D4" s="286"/>
    </row>
    <row r="5" spans="1:4" ht="50.25" customHeight="1">
      <c r="A5" s="783" t="s">
        <v>735</v>
      </c>
      <c r="B5" s="783"/>
      <c r="C5" s="783"/>
      <c r="D5" s="783"/>
    </row>
    <row r="6" spans="1:4" ht="15" customHeight="1">
      <c r="A6" s="782" t="s">
        <v>471</v>
      </c>
      <c r="B6" s="782"/>
    </row>
    <row r="7" spans="1:4" ht="15" customHeight="1">
      <c r="B7" s="366">
        <f>IFERROR(IF(Indice!B8="","2XX2",YEAR(Indice!B8)),"2XX2")</f>
        <v>2025</v>
      </c>
      <c r="C7" s="366">
        <f>+IFERROR(YEAR(Indice!B8-365),"2XX1")</f>
        <v>2024</v>
      </c>
    </row>
    <row r="8" spans="1:4" s="162" customFormat="1" ht="15" customHeight="1">
      <c r="A8" s="364" t="s">
        <v>736</v>
      </c>
      <c r="B8" s="607">
        <v>50000</v>
      </c>
      <c r="C8" s="607">
        <v>42000</v>
      </c>
      <c r="D8" s="608"/>
    </row>
    <row r="9" spans="1:4" ht="15" customHeight="1">
      <c r="A9" s="391" t="s">
        <v>737</v>
      </c>
      <c r="B9" s="609">
        <f>ER!C31</f>
        <v>34775800568</v>
      </c>
      <c r="C9" s="609">
        <f>ER!D31</f>
        <v>26053659222</v>
      </c>
    </row>
    <row r="10" spans="1:4" ht="15" customHeight="1">
      <c r="A10" s="610" t="s">
        <v>738</v>
      </c>
      <c r="B10" s="607">
        <f>IFERROR(B9/B8,0)</f>
        <v>695516.01136</v>
      </c>
      <c r="C10" s="607">
        <f>IFERROR(C9/C8,0)</f>
        <v>620325.21957142861</v>
      </c>
      <c r="D10" s="608"/>
    </row>
  </sheetData>
  <mergeCells count="2">
    <mergeCell ref="A5:D5"/>
    <mergeCell ref="A6:B6"/>
  </mergeCells>
  <hyperlinks>
    <hyperlink ref="D1" location="ER!A1" display="ER" xr:uid="{00000000-0004-0000-2800-000000000000}"/>
  </hyperlinks>
  <pageMargins left="0.7" right="0.7" top="0.75" bottom="0.75" header="0.511811023622047" footer="0.511811023622047"/>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N16"/>
  <sheetViews>
    <sheetView showGridLines="0" topLeftCell="A3" zoomScaleNormal="100" workbookViewId="0">
      <selection activeCell="A9" activeCellId="1" sqref="A166:A259 A9"/>
    </sheetView>
  </sheetViews>
  <sheetFormatPr baseColWidth="10" defaultColWidth="10.54296875" defaultRowHeight="14.5"/>
  <cols>
    <col min="1" max="3" width="24.453125" style="162" customWidth="1"/>
    <col min="4" max="4" width="27.1796875" style="162" customWidth="1"/>
    <col min="5" max="5" width="24.453125" style="162" customWidth="1"/>
    <col min="6" max="6" width="12.81640625" style="162" customWidth="1"/>
    <col min="7" max="7" width="11.453125" style="162" customWidth="1"/>
    <col min="8" max="8" width="17.1796875" style="162" customWidth="1"/>
    <col min="9" max="14" width="11.453125" style="162" customWidth="1"/>
  </cols>
  <sheetData>
    <row r="1" spans="1:9" ht="26">
      <c r="A1" s="428" t="str">
        <f>Indice!C1</f>
        <v>KUROSU &amp; CIA. S.A.</v>
      </c>
      <c r="E1" s="298" t="s">
        <v>116</v>
      </c>
    </row>
    <row r="2" spans="1:9">
      <c r="C2" s="258"/>
    </row>
    <row r="4" spans="1:9">
      <c r="A4" s="764" t="s">
        <v>739</v>
      </c>
      <c r="B4" s="764"/>
      <c r="C4" s="764"/>
      <c r="D4" s="764"/>
      <c r="E4" s="764"/>
      <c r="F4" s="611"/>
      <c r="G4" s="611"/>
      <c r="H4" s="611"/>
      <c r="I4" s="611"/>
    </row>
    <row r="5" spans="1:9">
      <c r="A5" s="782" t="s">
        <v>378</v>
      </c>
      <c r="B5" s="782"/>
    </row>
    <row r="6" spans="1:9" s="365" customFormat="1">
      <c r="A6" s="784" t="s">
        <v>740</v>
      </c>
      <c r="B6" s="784"/>
      <c r="C6" s="784"/>
      <c r="D6" s="784"/>
      <c r="E6" s="784"/>
      <c r="F6" s="784"/>
      <c r="G6" s="784"/>
      <c r="H6" s="784"/>
      <c r="I6" s="784"/>
    </row>
    <row r="7" spans="1:9" s="365" customFormat="1">
      <c r="A7" s="364"/>
      <c r="B7" s="364"/>
      <c r="C7" s="364"/>
      <c r="D7" s="364"/>
      <c r="E7" s="364"/>
      <c r="F7" s="364"/>
      <c r="G7" s="364"/>
      <c r="H7" s="364"/>
      <c r="I7" s="364"/>
    </row>
    <row r="8" spans="1:9" s="365" customFormat="1">
      <c r="A8" s="129" t="str">
        <f>IFERROR("Al "&amp;DAY(Indice!B8)&amp;" de "&amp;VLOOKUP(MONTH(Indice!B8),Indice!S:T,2,0)&amp;" de "&amp;YEAR(Indice!B8),"Al dia... de mes… de año 2XX1…")</f>
        <v>Al 31 de Marzo de 2025</v>
      </c>
      <c r="B8" s="129"/>
      <c r="C8" s="129"/>
      <c r="D8" s="129"/>
      <c r="E8" s="129"/>
      <c r="F8" s="129"/>
      <c r="G8" s="129"/>
      <c r="H8" s="364"/>
      <c r="I8" s="364"/>
    </row>
    <row r="9" spans="1:9" s="365" customFormat="1">
      <c r="A9" s="612" t="s">
        <v>741</v>
      </c>
      <c r="B9" s="613" t="s">
        <v>742</v>
      </c>
      <c r="C9" s="612" t="s">
        <v>562</v>
      </c>
      <c r="D9" s="612" t="s">
        <v>743</v>
      </c>
      <c r="E9" s="612" t="s">
        <v>744</v>
      </c>
      <c r="F9" s="364"/>
      <c r="G9" s="364"/>
      <c r="H9" s="364"/>
      <c r="I9" s="364"/>
    </row>
    <row r="10" spans="1:9" s="365" customFormat="1">
      <c r="A10" s="614"/>
      <c r="B10" s="615"/>
      <c r="C10" s="616"/>
      <c r="D10" s="616"/>
      <c r="E10" s="617"/>
      <c r="F10" s="364"/>
      <c r="G10" s="364"/>
      <c r="H10" s="364"/>
      <c r="I10" s="364"/>
    </row>
    <row r="11" spans="1:9" s="365" customFormat="1" ht="15" customHeight="1">
      <c r="A11" s="618"/>
      <c r="B11" s="619"/>
      <c r="C11" s="620"/>
      <c r="D11" s="620"/>
      <c r="E11" s="621"/>
      <c r="F11" s="364"/>
      <c r="G11" s="364"/>
      <c r="H11" s="364"/>
      <c r="I11" s="364"/>
    </row>
    <row r="12" spans="1:9" s="365" customFormat="1">
      <c r="A12" s="618"/>
      <c r="B12" s="619"/>
      <c r="C12" s="620"/>
      <c r="D12" s="620"/>
      <c r="E12" s="621"/>
      <c r="F12" s="364"/>
      <c r="G12" s="364"/>
      <c r="H12" s="364"/>
      <c r="I12" s="364"/>
    </row>
    <row r="13" spans="1:9" s="365" customFormat="1">
      <c r="A13" s="622"/>
      <c r="B13" s="623"/>
      <c r="C13" s="624"/>
      <c r="D13" s="624"/>
      <c r="E13" s="625"/>
      <c r="F13" s="364"/>
      <c r="G13" s="364"/>
      <c r="H13" s="364"/>
      <c r="I13" s="364"/>
    </row>
    <row r="14" spans="1:9" s="365" customFormat="1">
      <c r="A14" s="364"/>
      <c r="B14" s="364"/>
      <c r="C14" s="364"/>
      <c r="D14" s="364"/>
      <c r="E14" s="364"/>
      <c r="F14" s="364"/>
      <c r="G14" s="364"/>
      <c r="H14" s="364"/>
      <c r="I14" s="364"/>
    </row>
    <row r="15" spans="1:9" s="365" customFormat="1">
      <c r="A15" s="129" t="str">
        <f>IFERROR("Al "&amp;DAY(Indice!B8)&amp;" de "&amp;VLOOKUP(MONTH(Indice!B8),Indice!S:T,2,0)&amp;" de "&amp;YEAR(Indice!B8-365),"Al dia... de mes… de año 2XX1…")</f>
        <v>Al 31 de Marzo de 2024</v>
      </c>
      <c r="B15" s="626"/>
      <c r="C15" s="626"/>
      <c r="D15" s="626"/>
      <c r="E15" s="626"/>
      <c r="F15" s="364"/>
      <c r="G15" s="364"/>
      <c r="H15" s="364"/>
      <c r="I15" s="364"/>
    </row>
    <row r="16" spans="1:9" s="365" customFormat="1" ht="30" customHeight="1">
      <c r="A16" s="612" t="s">
        <v>741</v>
      </c>
      <c r="B16" s="613" t="s">
        <v>742</v>
      </c>
      <c r="C16" s="612" t="s">
        <v>562</v>
      </c>
      <c r="D16" s="612" t="s">
        <v>743</v>
      </c>
      <c r="E16" s="612" t="s">
        <v>744</v>
      </c>
      <c r="F16" s="364"/>
      <c r="G16" s="364"/>
      <c r="H16" s="364"/>
      <c r="I16" s="364"/>
    </row>
  </sheetData>
  <mergeCells count="3">
    <mergeCell ref="A4:E4"/>
    <mergeCell ref="A5:B5"/>
    <mergeCell ref="A6:I6"/>
  </mergeCells>
  <hyperlinks>
    <hyperlink ref="E1" location="Indice!A1" display="Indice" xr:uid="{00000000-0004-0000-2900-000000000000}"/>
  </hyperlinks>
  <pageMargins left="0.7" right="0.7" top="0.75" bottom="0.75" header="0.511811023622047" footer="0.511811023622047"/>
  <pageSetup paperSize="9" orientation="portrait" horizontalDpi="300" verticalDpi="30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N11"/>
  <sheetViews>
    <sheetView showGridLines="0" zoomScaleNormal="100" workbookViewId="0">
      <selection activeCell="A6" activeCellId="1" sqref="A166:A259 A6"/>
    </sheetView>
  </sheetViews>
  <sheetFormatPr baseColWidth="10" defaultColWidth="10.54296875" defaultRowHeight="14.5"/>
  <cols>
    <col min="1" max="5" width="24.453125" style="162" customWidth="1"/>
    <col min="6" max="6" width="12.81640625" style="162" customWidth="1"/>
    <col min="7" max="7" width="11.453125" style="162" customWidth="1"/>
    <col min="8" max="8" width="17.1796875" style="162" customWidth="1"/>
    <col min="9" max="14" width="11.453125" style="162" customWidth="1"/>
  </cols>
  <sheetData>
    <row r="1" spans="1:9" ht="26">
      <c r="A1" s="428" t="str">
        <f>Indice!C1</f>
        <v>KUROSU &amp; CIA. S.A.</v>
      </c>
      <c r="E1" s="298" t="s">
        <v>116</v>
      </c>
    </row>
    <row r="2" spans="1:9">
      <c r="C2" s="258"/>
    </row>
    <row r="4" spans="1:9">
      <c r="A4" s="286" t="s">
        <v>745</v>
      </c>
      <c r="B4" s="286"/>
      <c r="C4" s="286"/>
      <c r="D4" s="286"/>
      <c r="E4" s="286"/>
      <c r="F4" s="286"/>
      <c r="G4" s="286"/>
      <c r="H4" s="286"/>
      <c r="I4" s="611"/>
    </row>
    <row r="5" spans="1:9" ht="14.25" customHeight="1">
      <c r="A5" s="786" t="s">
        <v>746</v>
      </c>
      <c r="B5" s="786"/>
      <c r="C5" s="786"/>
      <c r="D5" s="786"/>
      <c r="E5" s="786"/>
      <c r="F5" s="786"/>
      <c r="G5" s="786"/>
      <c r="H5" s="786"/>
      <c r="I5" s="786"/>
    </row>
    <row r="6" spans="1:9" s="365" customFormat="1" ht="15" customHeight="1">
      <c r="A6" s="786" t="str">
        <f>IFERROR("Los principales contratos suscriptos por la Sociedad, vigentes al  "&amp;DAY(Indice!B8)&amp;" de "&amp;VLOOKUP(MONTH(Indice!B8),Indice!S:T,2,0)&amp;" de "&amp;YEAR(Indice!B8-1)&amp;" son:","Los principales contratos suscriptos por la Sociedad, vigentes al … de …  20X2 son:")</f>
        <v>Los principales contratos suscriptos por la Sociedad, vigentes al  31 de Marzo de 2025 son:</v>
      </c>
      <c r="B6" s="786"/>
      <c r="C6" s="786"/>
      <c r="D6" s="786"/>
      <c r="E6" s="786"/>
      <c r="F6" s="786"/>
      <c r="G6" s="786"/>
      <c r="H6" s="786"/>
      <c r="I6" s="786"/>
    </row>
    <row r="7" spans="1:9" s="365" customFormat="1" ht="13.5" customHeight="1">
      <c r="A7" s="786" t="s">
        <v>747</v>
      </c>
      <c r="B7" s="786"/>
      <c r="C7" s="786"/>
      <c r="D7" s="786"/>
      <c r="E7" s="786"/>
      <c r="F7" s="786"/>
      <c r="G7" s="786"/>
      <c r="H7" s="786"/>
      <c r="I7" s="786"/>
    </row>
    <row r="8" spans="1:9" s="364" customFormat="1" ht="13.5" customHeight="1">
      <c r="A8" s="786" t="s">
        <v>748</v>
      </c>
      <c r="B8" s="786"/>
      <c r="C8" s="786"/>
      <c r="D8" s="786"/>
      <c r="E8" s="786"/>
      <c r="F8" s="786"/>
      <c r="G8" s="786"/>
      <c r="H8" s="786"/>
      <c r="I8" s="786"/>
    </row>
    <row r="9" spans="1:9" s="365" customFormat="1" ht="15.5">
      <c r="A9" s="627"/>
      <c r="B9" s="628"/>
      <c r="C9" s="628"/>
      <c r="D9" s="628"/>
      <c r="E9" s="628"/>
      <c r="F9" s="628"/>
      <c r="G9" s="628"/>
      <c r="H9" s="628"/>
      <c r="I9" s="628"/>
    </row>
    <row r="10" spans="1:9" s="365" customFormat="1" ht="15.5">
      <c r="A10" s="786" t="str">
        <f>IFERROR("Al  "&amp;DAY(Indice!B8)&amp;" de "&amp;VLOOKUP(MONTH(Indice!B8),Indice!S:T,2,0)&amp;" de "&amp;YEAR(Indice!B8-1)&amp;" no existen situaciones contingentes, ni reclamos que pudieran resultar en la generación de obligaciones para la Sociedad adicionales a las que se presentan en estos estados financieros.","Al … de …………... 20X2 no existen situaciones contingentes, ni reclamos que pudieran resultar en la generación de obligaciones para la Sociedad adicionales a las que se presentan en estos estados financieros.")</f>
        <v>Al  31 de Marzo de 2025 no existen situaciones contingentes, ni reclamos que pudieran resultar en la generación de obligaciones para la Sociedad adicionales a las que se presentan en estos estados financieros.</v>
      </c>
      <c r="B10" s="786"/>
      <c r="C10" s="786"/>
      <c r="D10" s="786"/>
      <c r="E10" s="786"/>
      <c r="F10" s="786"/>
      <c r="G10" s="786"/>
      <c r="H10" s="786"/>
      <c r="I10" s="786"/>
    </row>
    <row r="11" spans="1:9" s="365" customFormat="1" ht="21" customHeight="1">
      <c r="A11" s="785" t="s">
        <v>749</v>
      </c>
      <c r="B11" s="785"/>
      <c r="C11" s="785"/>
      <c r="D11" s="785"/>
      <c r="E11" s="785"/>
      <c r="F11" s="785"/>
      <c r="G11" s="785"/>
      <c r="H11" s="785"/>
      <c r="I11" s="629"/>
    </row>
  </sheetData>
  <mergeCells count="6">
    <mergeCell ref="A11:H11"/>
    <mergeCell ref="A5:I5"/>
    <mergeCell ref="A6:I6"/>
    <mergeCell ref="A7:I7"/>
    <mergeCell ref="A8:I8"/>
    <mergeCell ref="A10:I10"/>
  </mergeCells>
  <hyperlinks>
    <hyperlink ref="E1" location="Indice!A1" display="Indice" xr:uid="{00000000-0004-0000-2A00-000000000000}"/>
  </hyperlinks>
  <pageMargins left="0.7" right="0.7" top="0.75" bottom="0.75" header="0.511811023622047" footer="0.511811023622047"/>
  <pageSetup paperSize="9" orientation="portrait" horizontalDpi="300" verticalDpi="30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AY27"/>
  <sheetViews>
    <sheetView topLeftCell="A16" zoomScaleNormal="100" workbookViewId="0">
      <selection activeCell="A7" activeCellId="1" sqref="A166:A259 A7"/>
    </sheetView>
  </sheetViews>
  <sheetFormatPr baseColWidth="10" defaultColWidth="10.54296875" defaultRowHeight="14.5"/>
  <cols>
    <col min="1" max="1" width="65.1796875" style="162" customWidth="1"/>
    <col min="2" max="2" width="22.54296875" style="162" customWidth="1"/>
    <col min="3" max="3" width="26.1796875" style="162" customWidth="1"/>
    <col min="4" max="51" width="11.453125" style="162" customWidth="1"/>
  </cols>
  <sheetData>
    <row r="1" spans="1:7" ht="26">
      <c r="A1" s="428" t="str">
        <f>Indice!C1</f>
        <v>KUROSU &amp; CIA. S.A.</v>
      </c>
      <c r="D1" s="298" t="s">
        <v>750</v>
      </c>
    </row>
    <row r="4" spans="1:7">
      <c r="A4" s="788" t="s">
        <v>751</v>
      </c>
      <c r="B4" s="788"/>
      <c r="C4" s="788"/>
      <c r="D4" s="788"/>
      <c r="E4" s="788"/>
      <c r="F4" s="788"/>
      <c r="G4" s="788"/>
    </row>
    <row r="5" spans="1:7">
      <c r="A5" s="782" t="s">
        <v>471</v>
      </c>
      <c r="B5" s="782"/>
    </row>
    <row r="6" spans="1:7" ht="42" customHeight="1">
      <c r="A6" s="789" t="s">
        <v>752</v>
      </c>
      <c r="B6" s="789"/>
      <c r="C6" s="789"/>
      <c r="D6" s="789"/>
      <c r="E6" s="789"/>
      <c r="F6" s="789"/>
      <c r="G6" s="789"/>
    </row>
    <row r="7" spans="1:7" ht="42" customHeight="1">
      <c r="A7" s="789" t="s">
        <v>753</v>
      </c>
      <c r="B7" s="789"/>
      <c r="C7" s="789"/>
      <c r="D7" s="789"/>
      <c r="E7" s="789"/>
      <c r="F7" s="789"/>
      <c r="G7" s="789"/>
    </row>
    <row r="8" spans="1:7" ht="53.25" customHeight="1">
      <c r="A8" s="789" t="s">
        <v>754</v>
      </c>
      <c r="B8" s="789"/>
      <c r="C8" s="789"/>
      <c r="D8" s="789"/>
      <c r="E8" s="789"/>
      <c r="F8" s="789"/>
      <c r="G8" s="789"/>
    </row>
    <row r="9" spans="1:7" s="162" customFormat="1" ht="21.75" customHeight="1">
      <c r="A9" s="787" t="s">
        <v>755</v>
      </c>
      <c r="B9" s="787"/>
      <c r="C9" s="787"/>
      <c r="D9" s="787"/>
      <c r="E9" s="787"/>
      <c r="F9" s="787"/>
      <c r="G9" s="787"/>
    </row>
    <row r="11" spans="1:7" ht="15" customHeight="1">
      <c r="A11" s="630" t="s">
        <v>756</v>
      </c>
      <c r="B11" s="366">
        <f>IFERROR(IF(Indice!B8="","2XX2",YEAR(Indice!B8)),"2XX2")</f>
        <v>2025</v>
      </c>
      <c r="C11" s="366">
        <f>+IFERROR(YEAR(Indice!B8-365),"2XX1")</f>
        <v>2024</v>
      </c>
    </row>
    <row r="12" spans="1:7" ht="15.5">
      <c r="A12" s="630" t="s">
        <v>757</v>
      </c>
      <c r="B12" s="631">
        <v>0</v>
      </c>
      <c r="C12" s="631">
        <v>0</v>
      </c>
    </row>
    <row r="13" spans="1:7" ht="15.5">
      <c r="A13" s="632" t="s">
        <v>758</v>
      </c>
      <c r="B13" s="633">
        <v>0</v>
      </c>
      <c r="C13" s="634">
        <v>0</v>
      </c>
    </row>
    <row r="14" spans="1:7" ht="15.5">
      <c r="A14" s="632" t="s">
        <v>501</v>
      </c>
      <c r="B14" s="633">
        <v>0</v>
      </c>
      <c r="C14" s="634">
        <v>0</v>
      </c>
    </row>
    <row r="15" spans="1:7" ht="15.5">
      <c r="A15" s="632" t="s">
        <v>759</v>
      </c>
      <c r="B15" s="633">
        <v>0</v>
      </c>
      <c r="C15" s="633">
        <v>0</v>
      </c>
    </row>
    <row r="16" spans="1:7" ht="15.5">
      <c r="A16" s="632" t="s">
        <v>760</v>
      </c>
      <c r="B16" s="633">
        <v>0</v>
      </c>
      <c r="C16" s="633">
        <v>0</v>
      </c>
    </row>
    <row r="17" spans="1:3" ht="15.5">
      <c r="A17" s="632" t="s">
        <v>761</v>
      </c>
      <c r="B17" s="633">
        <v>0</v>
      </c>
      <c r="C17" s="633">
        <v>0</v>
      </c>
    </row>
    <row r="18" spans="1:3" ht="15.5">
      <c r="A18" s="632" t="s">
        <v>41</v>
      </c>
      <c r="B18" s="633">
        <v>0</v>
      </c>
      <c r="C18" s="633">
        <v>0</v>
      </c>
    </row>
    <row r="19" spans="1:3" ht="15.5">
      <c r="A19" s="632" t="s">
        <v>762</v>
      </c>
      <c r="B19" s="633">
        <v>0</v>
      </c>
      <c r="C19" s="633">
        <v>0</v>
      </c>
    </row>
    <row r="20" spans="1:3" ht="15.5">
      <c r="A20" s="632" t="s">
        <v>763</v>
      </c>
      <c r="B20" s="633">
        <v>0</v>
      </c>
      <c r="C20" s="633">
        <v>0</v>
      </c>
    </row>
    <row r="21" spans="1:3" ht="15.5">
      <c r="A21" s="632" t="s">
        <v>764</v>
      </c>
      <c r="B21" s="633">
        <v>0</v>
      </c>
      <c r="C21" s="633">
        <v>0</v>
      </c>
    </row>
    <row r="22" spans="1:3" ht="15.5">
      <c r="A22" s="632" t="s">
        <v>765</v>
      </c>
      <c r="B22" s="633">
        <v>0</v>
      </c>
      <c r="C22" s="633">
        <v>0</v>
      </c>
    </row>
    <row r="23" spans="1:3" ht="15.5">
      <c r="A23" s="630" t="s">
        <v>766</v>
      </c>
      <c r="B23" s="631">
        <f>SUM(B15:B22)</f>
        <v>0</v>
      </c>
      <c r="C23" s="631">
        <f>SUM(C15:C22)</f>
        <v>0</v>
      </c>
    </row>
    <row r="24" spans="1:3" ht="15.5">
      <c r="A24" s="632" t="s">
        <v>767</v>
      </c>
      <c r="B24" s="634">
        <v>0</v>
      </c>
      <c r="C24" s="633">
        <v>0</v>
      </c>
    </row>
    <row r="25" spans="1:3" ht="18" customHeight="1">
      <c r="A25" s="630" t="s">
        <v>768</v>
      </c>
      <c r="B25" s="631">
        <f>B23+B24</f>
        <v>0</v>
      </c>
      <c r="C25" s="631">
        <f>C23+C24</f>
        <v>0</v>
      </c>
    </row>
    <row r="26" spans="1:3" ht="15.5">
      <c r="A26" s="632" t="s">
        <v>769</v>
      </c>
      <c r="B26" s="634">
        <v>0</v>
      </c>
      <c r="C26" s="633">
        <v>0</v>
      </c>
    </row>
    <row r="27" spans="1:3" ht="15.5">
      <c r="A27" s="635" t="s">
        <v>257</v>
      </c>
      <c r="B27" s="636">
        <f>B25</f>
        <v>0</v>
      </c>
      <c r="C27" s="636">
        <f>C25</f>
        <v>0</v>
      </c>
    </row>
  </sheetData>
  <mergeCells count="6">
    <mergeCell ref="A9:G9"/>
    <mergeCell ref="A4:G4"/>
    <mergeCell ref="A5:B5"/>
    <mergeCell ref="A6:G6"/>
    <mergeCell ref="A7:G7"/>
    <mergeCell ref="A8:G8"/>
  </mergeCells>
  <hyperlinks>
    <hyperlink ref="D1" location="Indice!A1" display="Índice" xr:uid="{00000000-0004-0000-2B00-000000000000}"/>
  </hyperlinks>
  <pageMargins left="0.7" right="0.7" top="0.75" bottom="0.75" header="0.511811023622047" footer="0.511811023622047"/>
  <pageSetup paperSize="9" orientation="portrait" horizontalDpi="300" verticalDpi="30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N7"/>
  <sheetViews>
    <sheetView showGridLines="0" zoomScaleNormal="100" workbookViewId="0">
      <selection activeCell="D11" activeCellId="1" sqref="A166:A259 D11"/>
    </sheetView>
  </sheetViews>
  <sheetFormatPr baseColWidth="10" defaultColWidth="10.54296875" defaultRowHeight="14.5"/>
  <cols>
    <col min="1" max="5" width="24.453125" style="162" customWidth="1"/>
    <col min="6" max="6" width="12.81640625" style="162" customWidth="1"/>
    <col min="7" max="7" width="11.453125" style="162" customWidth="1"/>
    <col min="8" max="8" width="17.1796875" style="162" customWidth="1"/>
    <col min="9" max="14" width="11.453125" style="162" customWidth="1"/>
  </cols>
  <sheetData>
    <row r="1" spans="1:9" ht="26">
      <c r="A1" s="428" t="str">
        <f>Indice!C1</f>
        <v>KUROSU &amp; CIA. S.A.</v>
      </c>
      <c r="E1" s="298" t="s">
        <v>116</v>
      </c>
    </row>
    <row r="2" spans="1:9">
      <c r="C2" s="258"/>
    </row>
    <row r="5" spans="1:9">
      <c r="A5" s="286" t="s">
        <v>770</v>
      </c>
      <c r="B5" s="286"/>
      <c r="C5" s="286"/>
      <c r="D5" s="286"/>
      <c r="E5" s="286"/>
      <c r="F5" s="286"/>
      <c r="G5" s="286"/>
      <c r="H5" s="286"/>
      <c r="I5" s="286"/>
    </row>
    <row r="6" spans="1:9" s="627" customFormat="1" ht="34.5" customHeight="1">
      <c r="A6" s="786" t="s">
        <v>771</v>
      </c>
      <c r="B6" s="786"/>
      <c r="C6" s="786"/>
      <c r="D6" s="786"/>
      <c r="E6" s="786"/>
      <c r="F6" s="786"/>
      <c r="G6" s="786"/>
      <c r="H6" s="786"/>
      <c r="I6" s="786"/>
    </row>
    <row r="7" spans="1:9" s="637" customFormat="1" ht="39" customHeight="1">
      <c r="A7" s="786" t="s">
        <v>772</v>
      </c>
      <c r="B7" s="786"/>
      <c r="C7" s="786"/>
      <c r="D7" s="786"/>
      <c r="E7" s="786"/>
      <c r="F7" s="786"/>
      <c r="G7" s="786"/>
      <c r="H7" s="786"/>
      <c r="I7" s="786"/>
    </row>
  </sheetData>
  <mergeCells count="2">
    <mergeCell ref="A6:I6"/>
    <mergeCell ref="A7:I7"/>
  </mergeCells>
  <hyperlinks>
    <hyperlink ref="E1" location="Indice!A1" display="Indice" xr:uid="{00000000-0004-0000-2C00-000000000000}"/>
  </hyperlinks>
  <pageMargins left="0.7" right="0.7" top="0.75" bottom="0.75" header="0.511811023622047" footer="0.511811023622047"/>
  <pageSetup paperSize="9" orientation="portrait" horizontalDpi="300" verticalDpi="30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G116"/>
  <sheetViews>
    <sheetView showGridLines="0" zoomScaleNormal="100" workbookViewId="0">
      <selection activeCell="D2" activeCellId="1" sqref="A166:A259 D2"/>
    </sheetView>
  </sheetViews>
  <sheetFormatPr baseColWidth="10" defaultColWidth="10.54296875" defaultRowHeight="14.5"/>
  <cols>
    <col min="1" max="1" width="2.1796875" customWidth="1"/>
    <col min="2" max="2" width="42.54296875" customWidth="1"/>
    <col min="3" max="3" width="39.1796875" customWidth="1"/>
    <col min="4" max="4" width="24.81640625" customWidth="1"/>
    <col min="5" max="5" width="17.453125" customWidth="1"/>
    <col min="6" max="6" width="18.81640625" customWidth="1"/>
  </cols>
  <sheetData>
    <row r="2" spans="2:7" ht="28.5" customHeight="1">
      <c r="B2" s="428" t="str">
        <f>Indice!C1</f>
        <v>KUROSU &amp; CIA. S.A.</v>
      </c>
      <c r="D2" s="638" t="s">
        <v>116</v>
      </c>
    </row>
    <row r="6" spans="2:7" ht="15" customHeight="1">
      <c r="B6" s="639" t="s">
        <v>773</v>
      </c>
      <c r="C6" s="639"/>
      <c r="D6" s="639"/>
      <c r="E6" s="639"/>
      <c r="F6" s="640"/>
      <c r="G6" s="640"/>
    </row>
    <row r="7" spans="2:7" ht="15" customHeight="1">
      <c r="B7" s="350"/>
      <c r="C7" s="162"/>
      <c r="D7" s="162"/>
      <c r="E7" s="162"/>
      <c r="F7" s="162"/>
      <c r="G7" s="162"/>
    </row>
    <row r="8" spans="2:7" ht="15" customHeight="1">
      <c r="B8" s="790" t="s">
        <v>774</v>
      </c>
      <c r="C8" s="790"/>
      <c r="D8" s="790"/>
      <c r="E8" s="790"/>
      <c r="F8" s="790"/>
      <c r="G8" s="790"/>
    </row>
    <row r="9" spans="2:7" ht="15" customHeight="1">
      <c r="B9" s="791" t="s">
        <v>775</v>
      </c>
      <c r="C9" s="791"/>
      <c r="D9" s="791"/>
      <c r="E9" s="791"/>
      <c r="F9" s="791"/>
      <c r="G9" s="791"/>
    </row>
    <row r="10" spans="2:7" ht="15" customHeight="1">
      <c r="B10" s="792" t="s">
        <v>776</v>
      </c>
      <c r="C10" s="792"/>
      <c r="D10" s="792"/>
      <c r="E10" s="792"/>
      <c r="F10" s="792"/>
      <c r="G10" s="792"/>
    </row>
    <row r="11" spans="2:7" ht="15" customHeight="1">
      <c r="B11" s="642" t="s">
        <v>777</v>
      </c>
      <c r="C11" s="643"/>
      <c r="D11" s="644" t="s">
        <v>778</v>
      </c>
      <c r="E11" s="645"/>
      <c r="F11" s="646"/>
      <c r="G11" s="646"/>
    </row>
    <row r="12" spans="2:7" ht="15" customHeight="1">
      <c r="B12" s="647" t="s">
        <v>193</v>
      </c>
      <c r="C12" s="648"/>
      <c r="D12" s="649">
        <v>0.82686000000000004</v>
      </c>
      <c r="E12" s="650"/>
      <c r="F12" s="646"/>
      <c r="G12" s="646"/>
    </row>
    <row r="13" spans="2:7" ht="15" customHeight="1">
      <c r="B13" s="647" t="s">
        <v>197</v>
      </c>
      <c r="C13" s="648"/>
      <c r="D13" s="649">
        <v>0.1351</v>
      </c>
      <c r="E13" s="650"/>
      <c r="F13" s="646"/>
      <c r="G13" s="646"/>
    </row>
    <row r="14" spans="2:7" ht="15" customHeight="1">
      <c r="B14" s="651"/>
      <c r="C14" s="652"/>
      <c r="D14" s="650"/>
      <c r="E14" s="650"/>
      <c r="F14" s="646"/>
      <c r="G14" s="646"/>
    </row>
    <row r="15" spans="2:7" ht="15" customHeight="1">
      <c r="B15" s="792" t="s">
        <v>779</v>
      </c>
      <c r="C15" s="792"/>
      <c r="D15" s="792"/>
      <c r="E15" s="792"/>
      <c r="F15" s="792"/>
      <c r="G15" s="646"/>
    </row>
    <row r="16" spans="2:7" ht="15" customHeight="1">
      <c r="B16" s="162"/>
      <c r="C16" s="793" t="s">
        <v>780</v>
      </c>
      <c r="D16" s="793"/>
      <c r="E16" s="793"/>
      <c r="F16" s="793"/>
      <c r="G16" s="646"/>
    </row>
    <row r="17" spans="2:7" ht="15" customHeight="1">
      <c r="B17" s="653" t="s">
        <v>781</v>
      </c>
      <c r="C17" s="653" t="s">
        <v>782</v>
      </c>
      <c r="D17" s="653" t="s">
        <v>783</v>
      </c>
      <c r="E17" s="653" t="s">
        <v>781</v>
      </c>
      <c r="F17" s="653" t="s">
        <v>784</v>
      </c>
      <c r="G17" s="646"/>
    </row>
    <row r="18" spans="2:7" ht="15" customHeight="1">
      <c r="B18" s="794" t="s">
        <v>193</v>
      </c>
      <c r="C18" s="654" t="s">
        <v>785</v>
      </c>
      <c r="D18" s="655" t="s">
        <v>786</v>
      </c>
      <c r="E18" s="655" t="s">
        <v>787</v>
      </c>
      <c r="F18" s="655">
        <v>96.33</v>
      </c>
      <c r="G18" s="646"/>
    </row>
    <row r="19" spans="2:7" ht="15" customHeight="1">
      <c r="B19" s="794"/>
      <c r="C19" s="654" t="s">
        <v>788</v>
      </c>
      <c r="D19" s="655" t="s">
        <v>789</v>
      </c>
      <c r="E19" s="655" t="s">
        <v>787</v>
      </c>
      <c r="F19" s="655">
        <v>46.32</v>
      </c>
      <c r="G19" s="646"/>
    </row>
    <row r="20" spans="2:7" ht="15" customHeight="1">
      <c r="B20" s="795" t="s">
        <v>197</v>
      </c>
      <c r="C20" s="654" t="s">
        <v>788</v>
      </c>
      <c r="D20" s="655" t="s">
        <v>790</v>
      </c>
      <c r="E20" s="655" t="s">
        <v>787</v>
      </c>
      <c r="F20" s="655">
        <v>29.63</v>
      </c>
      <c r="G20" s="646"/>
    </row>
    <row r="21" spans="2:7" ht="15" customHeight="1">
      <c r="B21" s="795"/>
      <c r="C21" s="654" t="s">
        <v>791</v>
      </c>
      <c r="D21" s="655" t="s">
        <v>792</v>
      </c>
      <c r="E21" s="655" t="s">
        <v>787</v>
      </c>
      <c r="F21" s="655">
        <v>17.73</v>
      </c>
      <c r="G21" s="646"/>
    </row>
    <row r="22" spans="2:7" ht="15" customHeight="1">
      <c r="B22" s="656"/>
      <c r="C22" s="657"/>
      <c r="D22" s="658"/>
      <c r="E22" s="658"/>
      <c r="F22" s="658"/>
      <c r="G22" s="646"/>
    </row>
    <row r="23" spans="2:7" ht="15" customHeight="1">
      <c r="B23" s="659" t="s">
        <v>793</v>
      </c>
      <c r="C23" s="659"/>
      <c r="D23" s="659"/>
      <c r="E23" s="659"/>
      <c r="F23" s="659"/>
      <c r="G23" s="646"/>
    </row>
    <row r="24" spans="2:7" ht="15" customHeight="1">
      <c r="B24" s="660" t="s">
        <v>794</v>
      </c>
      <c r="C24" s="661" t="s">
        <v>795</v>
      </c>
      <c r="D24" s="661" t="s">
        <v>796</v>
      </c>
      <c r="E24" s="646"/>
      <c r="F24" s="646"/>
      <c r="G24" s="646"/>
    </row>
    <row r="25" spans="2:7" ht="15" customHeight="1">
      <c r="B25" s="662" t="s">
        <v>797</v>
      </c>
      <c r="C25" s="663">
        <v>45408</v>
      </c>
      <c r="D25" s="664" t="s">
        <v>798</v>
      </c>
      <c r="E25" s="646"/>
      <c r="F25" s="646"/>
      <c r="G25" s="646"/>
    </row>
    <row r="26" spans="2:7" ht="15" customHeight="1">
      <c r="B26" s="665" t="s">
        <v>799</v>
      </c>
      <c r="C26" s="663">
        <v>45408</v>
      </c>
      <c r="D26" s="664" t="s">
        <v>798</v>
      </c>
      <c r="E26" s="646"/>
      <c r="F26" s="646"/>
      <c r="G26" s="646"/>
    </row>
    <row r="27" spans="2:7" ht="15" customHeight="1">
      <c r="B27" s="665" t="s">
        <v>800</v>
      </c>
      <c r="C27" s="663">
        <v>45408</v>
      </c>
      <c r="D27" s="664" t="s">
        <v>798</v>
      </c>
      <c r="E27" s="646"/>
      <c r="F27" s="646"/>
      <c r="G27" s="646"/>
    </row>
    <row r="28" spans="2:7" ht="15" customHeight="1">
      <c r="B28" s="665" t="s">
        <v>801</v>
      </c>
      <c r="C28" s="663">
        <v>45408</v>
      </c>
      <c r="D28" s="664" t="s">
        <v>798</v>
      </c>
      <c r="E28" s="646"/>
      <c r="F28" s="646"/>
      <c r="G28" s="646"/>
    </row>
    <row r="29" spans="2:7" ht="15" customHeight="1">
      <c r="B29" s="665" t="s">
        <v>802</v>
      </c>
      <c r="C29" s="663">
        <v>45408</v>
      </c>
      <c r="D29" s="664" t="s">
        <v>798</v>
      </c>
      <c r="E29" s="646"/>
      <c r="F29" s="646"/>
      <c r="G29" s="646"/>
    </row>
    <row r="30" spans="2:7" ht="15" customHeight="1">
      <c r="B30" s="665" t="s">
        <v>803</v>
      </c>
      <c r="C30" s="663">
        <v>45408</v>
      </c>
      <c r="D30" s="664" t="s">
        <v>798</v>
      </c>
      <c r="E30" s="646"/>
      <c r="F30" s="646"/>
      <c r="G30" s="646"/>
    </row>
    <row r="31" spans="2:7" ht="15" customHeight="1">
      <c r="B31" s="665" t="s">
        <v>804</v>
      </c>
      <c r="C31" s="663">
        <v>45408</v>
      </c>
      <c r="D31" s="664" t="s">
        <v>798</v>
      </c>
      <c r="E31" s="646"/>
      <c r="F31" s="646"/>
      <c r="G31" s="646"/>
    </row>
    <row r="32" spans="2:7" ht="15" customHeight="1">
      <c r="B32" s="665" t="s">
        <v>805</v>
      </c>
      <c r="C32" s="663">
        <v>45408</v>
      </c>
      <c r="D32" s="664" t="s">
        <v>798</v>
      </c>
      <c r="E32" s="646"/>
      <c r="F32" s="646"/>
      <c r="G32" s="646"/>
    </row>
    <row r="33" spans="2:7" ht="15" customHeight="1">
      <c r="B33" s="665" t="s">
        <v>806</v>
      </c>
      <c r="C33" s="663">
        <v>45408</v>
      </c>
      <c r="D33" s="664" t="s">
        <v>798</v>
      </c>
      <c r="E33" s="646"/>
      <c r="F33" s="646"/>
      <c r="G33" s="646"/>
    </row>
    <row r="34" spans="2:7" ht="15" customHeight="1">
      <c r="B34" s="665" t="s">
        <v>807</v>
      </c>
      <c r="C34" s="663">
        <v>45408</v>
      </c>
      <c r="D34" s="664" t="s">
        <v>798</v>
      </c>
      <c r="E34" s="646"/>
      <c r="F34" s="646"/>
      <c r="G34" s="646"/>
    </row>
    <row r="35" spans="2:7" ht="27" customHeight="1">
      <c r="B35" s="792" t="s">
        <v>808</v>
      </c>
      <c r="C35" s="792"/>
      <c r="D35" s="792"/>
      <c r="E35" s="792"/>
      <c r="F35" s="641"/>
      <c r="G35" s="646"/>
    </row>
    <row r="36" spans="2:7" ht="15" customHeight="1">
      <c r="B36" s="666" t="s">
        <v>809</v>
      </c>
      <c r="C36" s="667" t="s">
        <v>810</v>
      </c>
      <c r="D36" s="668"/>
      <c r="E36" s="668"/>
      <c r="F36" s="646"/>
      <c r="G36" s="646"/>
    </row>
    <row r="37" spans="2:7" ht="15" customHeight="1">
      <c r="B37" s="665" t="s">
        <v>797</v>
      </c>
      <c r="C37" s="669" t="s">
        <v>811</v>
      </c>
      <c r="D37" s="670"/>
      <c r="E37" s="670"/>
      <c r="F37" s="646"/>
      <c r="G37" s="646"/>
    </row>
    <row r="38" spans="2:7" ht="15" customHeight="1">
      <c r="B38" s="671" t="s">
        <v>804</v>
      </c>
      <c r="C38" s="669" t="s">
        <v>168</v>
      </c>
      <c r="D38" s="670"/>
      <c r="E38" s="670"/>
      <c r="F38" s="646"/>
      <c r="G38" s="646"/>
    </row>
    <row r="39" spans="2:7" ht="15" customHeight="1">
      <c r="B39" s="665" t="s">
        <v>800</v>
      </c>
      <c r="C39" s="669" t="s">
        <v>168</v>
      </c>
      <c r="D39" s="670"/>
      <c r="E39" s="670"/>
      <c r="F39" s="646"/>
      <c r="G39" s="646"/>
    </row>
    <row r="40" spans="2:7" ht="15" customHeight="1">
      <c r="B40" s="665" t="s">
        <v>801</v>
      </c>
      <c r="C40" s="669" t="s">
        <v>168</v>
      </c>
      <c r="D40" s="670"/>
      <c r="E40" s="670"/>
      <c r="F40" s="646"/>
      <c r="G40" s="646"/>
    </row>
    <row r="41" spans="2:7" ht="15" customHeight="1">
      <c r="B41" s="665" t="s">
        <v>802</v>
      </c>
      <c r="C41" s="669" t="s">
        <v>812</v>
      </c>
      <c r="D41" s="670"/>
      <c r="E41" s="670"/>
      <c r="F41" s="646"/>
      <c r="G41" s="646"/>
    </row>
    <row r="42" spans="2:7" ht="15" customHeight="1">
      <c r="B42" s="665" t="s">
        <v>813</v>
      </c>
      <c r="C42" s="669" t="s">
        <v>173</v>
      </c>
      <c r="D42" s="670"/>
      <c r="E42" s="670"/>
      <c r="F42" s="646"/>
      <c r="G42" s="646"/>
    </row>
    <row r="43" spans="2:7" ht="15" customHeight="1">
      <c r="B43" s="665" t="s">
        <v>814</v>
      </c>
      <c r="C43" s="672" t="s">
        <v>815</v>
      </c>
      <c r="D43" s="670"/>
      <c r="E43" s="670"/>
      <c r="F43" s="646"/>
      <c r="G43" s="646"/>
    </row>
    <row r="44" spans="2:7" ht="29.25" customHeight="1">
      <c r="B44" s="792" t="s">
        <v>816</v>
      </c>
      <c r="C44" s="792"/>
      <c r="D44" s="792"/>
      <c r="E44" s="792"/>
      <c r="F44" s="792"/>
      <c r="G44" s="792"/>
    </row>
    <row r="45" spans="2:7" ht="15" customHeight="1">
      <c r="B45" s="673" t="s">
        <v>817</v>
      </c>
      <c r="C45" s="674"/>
      <c r="D45" s="674"/>
      <c r="E45" s="674"/>
      <c r="F45" s="674"/>
      <c r="G45" s="646"/>
    </row>
    <row r="46" spans="2:7" ht="15" customHeight="1">
      <c r="B46" s="673"/>
      <c r="C46" s="674"/>
      <c r="D46" s="674"/>
      <c r="E46" s="674"/>
      <c r="F46" s="674"/>
      <c r="G46" s="646"/>
    </row>
    <row r="47" spans="2:7" ht="15" customHeight="1">
      <c r="B47" s="796" t="s">
        <v>818</v>
      </c>
      <c r="C47" s="796"/>
      <c r="D47" s="796"/>
      <c r="E47" s="796"/>
      <c r="F47" s="796"/>
      <c r="G47" s="675"/>
    </row>
    <row r="48" spans="2:7" ht="39" customHeight="1">
      <c r="B48" s="676" t="s">
        <v>819</v>
      </c>
      <c r="C48" s="677" t="s">
        <v>820</v>
      </c>
      <c r="D48" s="676" t="s">
        <v>821</v>
      </c>
      <c r="E48" s="676" t="s">
        <v>822</v>
      </c>
      <c r="F48" s="676" t="s">
        <v>823</v>
      </c>
      <c r="G48" s="675"/>
    </row>
    <row r="49" spans="2:7" ht="15" customHeight="1">
      <c r="B49" s="678" t="s">
        <v>538</v>
      </c>
      <c r="C49" s="678" t="s">
        <v>193</v>
      </c>
      <c r="D49" s="679" t="s">
        <v>789</v>
      </c>
      <c r="E49" s="679" t="s">
        <v>166</v>
      </c>
      <c r="F49" s="679" t="s">
        <v>824</v>
      </c>
      <c r="G49" s="675"/>
    </row>
    <row r="50" spans="2:7" ht="15" customHeight="1">
      <c r="B50" s="678" t="s">
        <v>825</v>
      </c>
      <c r="C50" s="678" t="s">
        <v>193</v>
      </c>
      <c r="D50" s="679" t="s">
        <v>789</v>
      </c>
      <c r="E50" s="679" t="s">
        <v>166</v>
      </c>
      <c r="F50" s="679" t="s">
        <v>824</v>
      </c>
    </row>
    <row r="51" spans="2:7" ht="15" customHeight="1">
      <c r="B51" s="678" t="s">
        <v>785</v>
      </c>
      <c r="C51" s="678" t="s">
        <v>193</v>
      </c>
      <c r="D51" s="679" t="s">
        <v>786</v>
      </c>
      <c r="E51" s="679" t="s">
        <v>166</v>
      </c>
      <c r="F51" s="679" t="s">
        <v>826</v>
      </c>
    </row>
    <row r="52" spans="2:7" ht="15" customHeight="1">
      <c r="B52" s="678" t="s">
        <v>788</v>
      </c>
      <c r="C52" s="678" t="s">
        <v>193</v>
      </c>
      <c r="D52" s="679" t="s">
        <v>789</v>
      </c>
      <c r="E52" s="679" t="s">
        <v>166</v>
      </c>
      <c r="F52" s="679" t="s">
        <v>826</v>
      </c>
    </row>
    <row r="53" spans="2:7" ht="15" customHeight="1">
      <c r="B53" s="678" t="s">
        <v>788</v>
      </c>
      <c r="C53" s="678" t="s">
        <v>197</v>
      </c>
      <c r="D53" s="679" t="s">
        <v>827</v>
      </c>
      <c r="E53" s="679" t="s">
        <v>790</v>
      </c>
      <c r="F53" s="679" t="s">
        <v>826</v>
      </c>
    </row>
    <row r="54" spans="2:7" ht="15" customHeight="1">
      <c r="B54" s="654" t="s">
        <v>791</v>
      </c>
      <c r="C54" s="678" t="s">
        <v>197</v>
      </c>
      <c r="D54" s="679" t="s">
        <v>792</v>
      </c>
      <c r="E54" s="679" t="s">
        <v>789</v>
      </c>
      <c r="F54" s="679" t="s">
        <v>826</v>
      </c>
    </row>
    <row r="55" spans="2:7" ht="15" customHeight="1">
      <c r="B55" s="678" t="s">
        <v>538</v>
      </c>
      <c r="C55" s="678" t="s">
        <v>828</v>
      </c>
      <c r="D55" s="679" t="s">
        <v>789</v>
      </c>
      <c r="E55" s="679" t="s">
        <v>167</v>
      </c>
      <c r="F55" s="679" t="s">
        <v>824</v>
      </c>
    </row>
    <row r="56" spans="2:7" ht="15" customHeight="1">
      <c r="B56" s="678" t="s">
        <v>829</v>
      </c>
      <c r="C56" s="678" t="s">
        <v>828</v>
      </c>
      <c r="D56" s="679" t="s">
        <v>789</v>
      </c>
      <c r="E56" s="679" t="s">
        <v>167</v>
      </c>
      <c r="F56" s="679" t="s">
        <v>824</v>
      </c>
    </row>
    <row r="57" spans="2:7" ht="15" customHeight="1">
      <c r="B57" s="678" t="s">
        <v>538</v>
      </c>
      <c r="C57" s="678" t="s">
        <v>830</v>
      </c>
      <c r="D57" s="679" t="s">
        <v>789</v>
      </c>
      <c r="E57" s="679" t="s">
        <v>790</v>
      </c>
      <c r="F57" s="679" t="s">
        <v>824</v>
      </c>
    </row>
    <row r="58" spans="2:7" ht="15" customHeight="1">
      <c r="B58" s="680" t="s">
        <v>831</v>
      </c>
      <c r="C58" s="680"/>
      <c r="D58" s="680"/>
      <c r="E58" s="680"/>
      <c r="F58" s="680"/>
    </row>
    <row r="59" spans="2:7" ht="15" customHeight="1">
      <c r="B59" s="680"/>
      <c r="C59" s="680"/>
      <c r="D59" s="680"/>
      <c r="E59" s="680"/>
      <c r="F59" s="680"/>
    </row>
    <row r="60" spans="2:7" ht="33" customHeight="1">
      <c r="B60" s="797" t="s">
        <v>832</v>
      </c>
      <c r="C60" s="797"/>
      <c r="D60" s="797"/>
      <c r="E60" s="797"/>
      <c r="F60" s="797"/>
    </row>
    <row r="61" spans="2:7" ht="15" customHeight="1">
      <c r="B61" s="681" t="s">
        <v>833</v>
      </c>
      <c r="C61" s="676" t="s">
        <v>834</v>
      </c>
      <c r="D61" s="676" t="s">
        <v>835</v>
      </c>
      <c r="E61" s="798" t="s">
        <v>836</v>
      </c>
      <c r="F61" s="798"/>
    </row>
    <row r="62" spans="2:7" ht="15" customHeight="1">
      <c r="B62" s="682" t="s">
        <v>837</v>
      </c>
      <c r="C62" s="682" t="s">
        <v>838</v>
      </c>
      <c r="D62" s="676" t="s">
        <v>837</v>
      </c>
      <c r="E62" s="799" t="s">
        <v>837</v>
      </c>
      <c r="F62" s="799"/>
    </row>
    <row r="63" spans="2:7" ht="15" customHeight="1">
      <c r="B63" s="683" t="s">
        <v>839</v>
      </c>
      <c r="C63" s="684"/>
      <c r="D63" s="684"/>
      <c r="E63" s="684"/>
      <c r="F63" s="646"/>
    </row>
    <row r="64" spans="2:7" ht="15" customHeight="1">
      <c r="B64" s="683"/>
      <c r="C64" s="684"/>
      <c r="D64" s="684"/>
      <c r="E64" s="684"/>
      <c r="F64" s="646"/>
    </row>
    <row r="65" spans="2:6" ht="24" customHeight="1">
      <c r="B65" s="800" t="s">
        <v>840</v>
      </c>
      <c r="C65" s="800"/>
      <c r="D65" s="800"/>
      <c r="E65" s="800"/>
      <c r="F65" s="800"/>
    </row>
    <row r="66" spans="2:6" ht="15" customHeight="1">
      <c r="B66" s="685" t="s">
        <v>841</v>
      </c>
      <c r="C66" s="685" t="s">
        <v>842</v>
      </c>
      <c r="D66" s="685" t="s">
        <v>843</v>
      </c>
      <c r="E66" s="798" t="s">
        <v>844</v>
      </c>
      <c r="F66" s="798"/>
    </row>
    <row r="67" spans="2:6" ht="15" customHeight="1">
      <c r="B67" s="676" t="s">
        <v>837</v>
      </c>
      <c r="C67" s="676" t="s">
        <v>845</v>
      </c>
      <c r="D67" s="676" t="s">
        <v>837</v>
      </c>
      <c r="E67" s="799" t="s">
        <v>838</v>
      </c>
      <c r="F67" s="799"/>
    </row>
    <row r="68" spans="2:6" ht="15" customHeight="1">
      <c r="B68" s="801" t="s">
        <v>846</v>
      </c>
      <c r="C68" s="801"/>
      <c r="D68" s="801"/>
      <c r="E68" s="801"/>
      <c r="F68" s="801"/>
    </row>
    <row r="69" spans="2:6" ht="15" customHeight="1">
      <c r="B69" s="686"/>
      <c r="C69" s="686"/>
      <c r="D69" s="686"/>
      <c r="E69" s="686"/>
      <c r="F69" s="686"/>
    </row>
    <row r="70" spans="2:6" ht="15" customHeight="1">
      <c r="B70" s="797" t="s">
        <v>847</v>
      </c>
      <c r="C70" s="797"/>
      <c r="D70" s="797"/>
      <c r="E70" s="797"/>
      <c r="F70" s="797"/>
    </row>
    <row r="71" spans="2:6" ht="15" customHeight="1">
      <c r="B71" s="797" t="s">
        <v>848</v>
      </c>
      <c r="C71" s="797"/>
      <c r="D71" s="798" t="s">
        <v>849</v>
      </c>
      <c r="E71" s="798"/>
      <c r="F71" s="798"/>
    </row>
    <row r="72" spans="2:6" ht="15" customHeight="1">
      <c r="B72" s="798" t="s">
        <v>838</v>
      </c>
      <c r="C72" s="798"/>
      <c r="D72" s="798" t="s">
        <v>850</v>
      </c>
      <c r="E72" s="798"/>
      <c r="F72" s="798"/>
    </row>
    <row r="73" spans="2:6" ht="15" customHeight="1">
      <c r="B73" s="645"/>
      <c r="C73" s="645"/>
      <c r="D73" s="645"/>
      <c r="E73" s="645"/>
      <c r="F73" s="645"/>
    </row>
    <row r="74" spans="2:6" ht="15" customHeight="1">
      <c r="B74" s="687" t="s">
        <v>851</v>
      </c>
      <c r="C74" s="688"/>
      <c r="D74" s="688"/>
      <c r="E74" s="688"/>
      <c r="F74" s="688"/>
    </row>
    <row r="75" spans="2:6" ht="15" customHeight="1">
      <c r="B75" s="689" t="s">
        <v>852</v>
      </c>
      <c r="C75" s="690"/>
      <c r="D75" s="646"/>
      <c r="E75" s="646"/>
      <c r="F75" s="646"/>
    </row>
    <row r="76" spans="2:6" ht="15" customHeight="1">
      <c r="B76" s="680" t="s">
        <v>853</v>
      </c>
      <c r="C76" s="680"/>
      <c r="D76" s="646"/>
      <c r="E76" s="646"/>
      <c r="F76" s="646"/>
    </row>
    <row r="77" spans="2:6" ht="15" customHeight="1">
      <c r="B77" s="645" t="s">
        <v>837</v>
      </c>
      <c r="C77" s="645"/>
      <c r="D77" s="646"/>
      <c r="E77" s="646"/>
      <c r="F77" s="646"/>
    </row>
    <row r="78" spans="2:6" ht="15" customHeight="1">
      <c r="B78" s="691" t="s">
        <v>854</v>
      </c>
      <c r="C78" s="646"/>
      <c r="D78" s="646"/>
      <c r="E78" s="646"/>
      <c r="F78" s="646"/>
    </row>
    <row r="79" spans="2:6" ht="15" customHeight="1">
      <c r="B79" s="692" t="s">
        <v>855</v>
      </c>
      <c r="C79" s="693"/>
      <c r="D79" s="646"/>
      <c r="E79" s="646"/>
      <c r="F79" s="646"/>
    </row>
    <row r="80" spans="2:6" ht="15" customHeight="1">
      <c r="B80" s="692" t="s">
        <v>856</v>
      </c>
      <c r="C80" s="693"/>
      <c r="D80" s="646"/>
      <c r="E80" s="646"/>
      <c r="F80" s="646"/>
    </row>
    <row r="81" spans="2:6" ht="15" customHeight="1">
      <c r="B81" s="645" t="s">
        <v>837</v>
      </c>
      <c r="C81" s="645"/>
      <c r="D81" s="646"/>
      <c r="E81" s="646"/>
      <c r="F81" s="646"/>
    </row>
    <row r="82" spans="2:6" ht="15" customHeight="1">
      <c r="B82" s="691" t="s">
        <v>857</v>
      </c>
      <c r="C82" s="693"/>
      <c r="D82" s="693"/>
    </row>
    <row r="83" spans="2:6" ht="15" customHeight="1">
      <c r="B83" s="692" t="s">
        <v>858</v>
      </c>
      <c r="C83" s="693"/>
      <c r="D83" s="693"/>
    </row>
    <row r="84" spans="2:6" ht="15" customHeight="1">
      <c r="B84" s="692" t="s">
        <v>856</v>
      </c>
      <c r="C84" s="693"/>
      <c r="D84" s="693"/>
    </row>
    <row r="85" spans="2:6" ht="15" customHeight="1">
      <c r="B85" s="645" t="s">
        <v>859</v>
      </c>
      <c r="C85" s="645"/>
      <c r="D85" s="693"/>
    </row>
    <row r="86" spans="2:6" ht="15" customHeight="1">
      <c r="B86" s="694" t="s">
        <v>860</v>
      </c>
      <c r="C86" s="693"/>
      <c r="D86" s="693"/>
    </row>
    <row r="87" spans="2:6" ht="15" customHeight="1">
      <c r="B87" s="694" t="s">
        <v>861</v>
      </c>
      <c r="C87" s="693"/>
      <c r="D87" s="693"/>
    </row>
    <row r="88" spans="2:6" ht="15" customHeight="1">
      <c r="B88" s="692" t="s">
        <v>862</v>
      </c>
      <c r="C88" s="693"/>
      <c r="D88" s="693"/>
    </row>
    <row r="89" spans="2:6" ht="15" customHeight="1">
      <c r="B89" s="692" t="s">
        <v>863</v>
      </c>
      <c r="C89" s="693"/>
      <c r="D89" s="693"/>
    </row>
    <row r="90" spans="2:6" ht="15" customHeight="1">
      <c r="B90" s="692"/>
      <c r="C90" s="693"/>
      <c r="D90" s="693"/>
    </row>
    <row r="91" spans="2:6" ht="15" customHeight="1">
      <c r="B91" s="695"/>
      <c r="C91" s="695"/>
      <c r="D91" s="693"/>
    </row>
    <row r="92" spans="2:6" ht="15" customHeight="1">
      <c r="B92" s="386"/>
      <c r="C92" s="366">
        <f>IFERROR(IF(Indice!B8="","2XX2",YEAR(Indice!B8)),"2XX2")</f>
        <v>2025</v>
      </c>
      <c r="D92" s="366">
        <f>+IFERROR(YEAR(Indice!B8-365),"2XX1")</f>
        <v>2024</v>
      </c>
    </row>
    <row r="93" spans="2:6" ht="15" customHeight="1">
      <c r="B93" s="696" t="s">
        <v>854</v>
      </c>
      <c r="C93" s="386">
        <v>0</v>
      </c>
      <c r="D93" s="386">
        <v>0</v>
      </c>
    </row>
    <row r="94" spans="2:6" ht="15" customHeight="1">
      <c r="B94" s="386" t="s">
        <v>27</v>
      </c>
      <c r="C94" s="386">
        <v>0</v>
      </c>
      <c r="D94" s="386">
        <v>0</v>
      </c>
    </row>
    <row r="95" spans="2:6" ht="15" customHeight="1">
      <c r="B95" s="386" t="s">
        <v>864</v>
      </c>
      <c r="C95" s="386">
        <v>0</v>
      </c>
      <c r="D95" s="386">
        <v>0</v>
      </c>
    </row>
    <row r="96" spans="2:6" ht="15" customHeight="1">
      <c r="B96" s="386" t="s">
        <v>31</v>
      </c>
      <c r="C96" s="386">
        <v>0</v>
      </c>
      <c r="D96" s="386">
        <v>0</v>
      </c>
    </row>
    <row r="97" spans="2:4" ht="15" customHeight="1">
      <c r="B97" s="696" t="s">
        <v>865</v>
      </c>
      <c r="C97" s="696">
        <v>0</v>
      </c>
      <c r="D97" s="696">
        <v>0</v>
      </c>
    </row>
    <row r="98" spans="2:4" ht="15" customHeight="1">
      <c r="B98" s="696" t="s">
        <v>857</v>
      </c>
      <c r="C98" s="696">
        <v>0</v>
      </c>
      <c r="D98" s="696">
        <v>0</v>
      </c>
    </row>
    <row r="99" spans="2:4" ht="15" customHeight="1">
      <c r="B99" s="386" t="s">
        <v>45</v>
      </c>
      <c r="C99" s="386">
        <v>0</v>
      </c>
      <c r="D99" s="386">
        <v>0</v>
      </c>
    </row>
    <row r="100" spans="2:4" ht="15" customHeight="1">
      <c r="B100" s="386" t="s">
        <v>47</v>
      </c>
      <c r="C100" s="386">
        <v>0</v>
      </c>
      <c r="D100" s="386">
        <v>0</v>
      </c>
    </row>
    <row r="101" spans="2:4" ht="15" customHeight="1">
      <c r="B101" s="386" t="s">
        <v>55</v>
      </c>
      <c r="C101" s="386">
        <v>0</v>
      </c>
      <c r="D101" s="386">
        <v>0</v>
      </c>
    </row>
    <row r="102" spans="2:4" ht="15" customHeight="1">
      <c r="B102" s="386" t="s">
        <v>866</v>
      </c>
      <c r="C102" s="386">
        <v>0</v>
      </c>
      <c r="D102" s="386">
        <v>0</v>
      </c>
    </row>
    <row r="103" spans="2:4" ht="15" customHeight="1">
      <c r="B103" s="386" t="s">
        <v>867</v>
      </c>
      <c r="C103" s="386">
        <v>0</v>
      </c>
      <c r="D103" s="386">
        <v>0</v>
      </c>
    </row>
    <row r="104" spans="2:4" ht="15" customHeight="1">
      <c r="B104" s="696" t="s">
        <v>868</v>
      </c>
      <c r="C104" s="696">
        <v>0</v>
      </c>
      <c r="D104" s="696">
        <v>0</v>
      </c>
    </row>
    <row r="105" spans="2:4" ht="15" customHeight="1">
      <c r="B105" s="162"/>
      <c r="C105" s="162"/>
      <c r="D105" s="162"/>
    </row>
    <row r="106" spans="2:4" ht="15" customHeight="1">
      <c r="B106" s="364"/>
      <c r="C106" s="364"/>
      <c r="D106" s="364"/>
    </row>
    <row r="107" spans="2:4" ht="15" customHeight="1">
      <c r="B107" s="697"/>
      <c r="C107" s="366">
        <f>IFERROR(IF(Indice!B8="","2XX2",YEAR(Indice!B8)),"2XX2")</f>
        <v>2025</v>
      </c>
      <c r="D107" s="366">
        <f>+IFERROR(YEAR(Indice!B8-365),"2XX1")</f>
        <v>2024</v>
      </c>
    </row>
    <row r="108" spans="2:4" ht="15" customHeight="1">
      <c r="B108" s="697" t="s">
        <v>78</v>
      </c>
      <c r="C108" s="697">
        <v>0</v>
      </c>
      <c r="D108" s="697">
        <v>0</v>
      </c>
    </row>
    <row r="109" spans="2:4" ht="15" customHeight="1">
      <c r="B109" s="698" t="s">
        <v>869</v>
      </c>
      <c r="C109" s="698">
        <v>0</v>
      </c>
      <c r="D109" s="698">
        <v>0</v>
      </c>
    </row>
    <row r="110" spans="2:4" ht="15" customHeight="1">
      <c r="B110" s="697" t="s">
        <v>82</v>
      </c>
      <c r="C110" s="697">
        <v>0</v>
      </c>
      <c r="D110" s="697">
        <v>0</v>
      </c>
    </row>
    <row r="111" spans="2:4" ht="15" customHeight="1">
      <c r="B111" s="698" t="s">
        <v>870</v>
      </c>
      <c r="C111" s="698">
        <v>0</v>
      </c>
      <c r="D111" s="698">
        <v>0</v>
      </c>
    </row>
    <row r="112" spans="2:4" ht="15" customHeight="1">
      <c r="B112" s="698" t="s">
        <v>636</v>
      </c>
      <c r="C112" s="699">
        <v>525000000</v>
      </c>
      <c r="D112" s="699">
        <v>525000000</v>
      </c>
    </row>
    <row r="113" spans="2:4" ht="15" customHeight="1">
      <c r="B113" s="698" t="s">
        <v>871</v>
      </c>
      <c r="C113" s="699">
        <v>4500000</v>
      </c>
      <c r="D113" s="699">
        <v>4500000</v>
      </c>
    </row>
    <row r="114" spans="2:4" ht="15" customHeight="1">
      <c r="B114" s="698" t="s">
        <v>872</v>
      </c>
      <c r="C114" s="698">
        <v>0</v>
      </c>
      <c r="D114" s="698">
        <v>0</v>
      </c>
    </row>
    <row r="115" spans="2:4" ht="15" customHeight="1">
      <c r="B115" s="697" t="s">
        <v>873</v>
      </c>
      <c r="C115" s="697">
        <v>0</v>
      </c>
      <c r="D115" s="697">
        <v>0</v>
      </c>
    </row>
    <row r="116" spans="2:4" ht="15" customHeight="1">
      <c r="B116" s="698" t="s">
        <v>874</v>
      </c>
      <c r="C116" s="698">
        <v>0</v>
      </c>
      <c r="D116" s="698">
        <v>0</v>
      </c>
    </row>
  </sheetData>
  <mergeCells count="22">
    <mergeCell ref="B72:C72"/>
    <mergeCell ref="D72:F72"/>
    <mergeCell ref="E67:F67"/>
    <mergeCell ref="B68:F68"/>
    <mergeCell ref="B70:F70"/>
    <mergeCell ref="B71:C71"/>
    <mergeCell ref="D71:F71"/>
    <mergeCell ref="B60:F60"/>
    <mergeCell ref="E61:F61"/>
    <mergeCell ref="E62:F62"/>
    <mergeCell ref="B65:F65"/>
    <mergeCell ref="E66:F66"/>
    <mergeCell ref="B18:B19"/>
    <mergeCell ref="B20:B21"/>
    <mergeCell ref="B35:E35"/>
    <mergeCell ref="B44:G44"/>
    <mergeCell ref="B47:F47"/>
    <mergeCell ref="B8:G8"/>
    <mergeCell ref="B9:G9"/>
    <mergeCell ref="B10:G10"/>
    <mergeCell ref="B15:F15"/>
    <mergeCell ref="C16:F16"/>
  </mergeCells>
  <hyperlinks>
    <hyperlink ref="D2" location="Indice!A1" display="Indice" xr:uid="{00000000-0004-0000-2D00-000000000000}"/>
  </hyperlinks>
  <pageMargins left="0.7" right="0.7" top="0.75" bottom="0.75" header="0.511811023622047" footer="0.511811023622047"/>
  <pageSetup orientation="portrait" horizontalDpi="300" verticalDpi="30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C179"/>
  <sheetViews>
    <sheetView topLeftCell="A94" zoomScaleNormal="100" workbookViewId="0">
      <selection activeCell="C13" activeCellId="1" sqref="A166:A259 C13"/>
    </sheetView>
  </sheetViews>
  <sheetFormatPr baseColWidth="10" defaultColWidth="10.54296875" defaultRowHeight="14.5"/>
  <cols>
    <col min="1" max="1" width="11.453125" customWidth="1"/>
    <col min="2" max="2" width="66.1796875" customWidth="1"/>
  </cols>
  <sheetData>
    <row r="1" spans="1:3">
      <c r="A1" t="s">
        <v>513</v>
      </c>
      <c r="B1" t="s">
        <v>875</v>
      </c>
      <c r="C1" s="211" t="s">
        <v>750</v>
      </c>
    </row>
    <row r="2" spans="1:3">
      <c r="A2" t="s">
        <v>510</v>
      </c>
      <c r="B2" t="s">
        <v>876</v>
      </c>
    </row>
    <row r="3" spans="1:3">
      <c r="A3" t="s">
        <v>511</v>
      </c>
      <c r="B3" t="s">
        <v>343</v>
      </c>
    </row>
    <row r="4" spans="1:3">
      <c r="A4" t="s">
        <v>877</v>
      </c>
      <c r="B4" t="s">
        <v>878</v>
      </c>
    </row>
    <row r="5" spans="1:3">
      <c r="A5" t="s">
        <v>879</v>
      </c>
      <c r="B5" t="s">
        <v>880</v>
      </c>
    </row>
    <row r="6" spans="1:3">
      <c r="A6" t="s">
        <v>881</v>
      </c>
      <c r="B6" t="s">
        <v>882</v>
      </c>
    </row>
    <row r="7" spans="1:3">
      <c r="A7" t="s">
        <v>883</v>
      </c>
      <c r="B7" t="s">
        <v>884</v>
      </c>
    </row>
    <row r="8" spans="1:3">
      <c r="A8" t="s">
        <v>885</v>
      </c>
      <c r="B8" t="s">
        <v>886</v>
      </c>
    </row>
    <row r="9" spans="1:3">
      <c r="A9" t="s">
        <v>887</v>
      </c>
      <c r="B9" t="s">
        <v>888</v>
      </c>
    </row>
    <row r="10" spans="1:3">
      <c r="A10" t="s">
        <v>889</v>
      </c>
      <c r="B10" t="s">
        <v>890</v>
      </c>
    </row>
    <row r="11" spans="1:3">
      <c r="A11" t="s">
        <v>891</v>
      </c>
      <c r="B11" t="s">
        <v>892</v>
      </c>
    </row>
    <row r="12" spans="1:3">
      <c r="A12" t="s">
        <v>893</v>
      </c>
      <c r="B12" t="s">
        <v>894</v>
      </c>
    </row>
    <row r="13" spans="1:3">
      <c r="A13" t="s">
        <v>895</v>
      </c>
      <c r="B13" t="s">
        <v>896</v>
      </c>
    </row>
    <row r="14" spans="1:3">
      <c r="A14" t="s">
        <v>897</v>
      </c>
      <c r="B14" t="s">
        <v>898</v>
      </c>
    </row>
    <row r="15" spans="1:3">
      <c r="A15" t="s">
        <v>899</v>
      </c>
      <c r="B15" t="s">
        <v>900</v>
      </c>
    </row>
    <row r="16" spans="1:3">
      <c r="A16" t="s">
        <v>901</v>
      </c>
      <c r="B16" t="s">
        <v>902</v>
      </c>
    </row>
    <row r="17" spans="1:2">
      <c r="A17" t="s">
        <v>903</v>
      </c>
      <c r="B17" t="s">
        <v>904</v>
      </c>
    </row>
    <row r="18" spans="1:2">
      <c r="A18" t="s">
        <v>905</v>
      </c>
      <c r="B18" t="s">
        <v>906</v>
      </c>
    </row>
    <row r="19" spans="1:2">
      <c r="A19" t="s">
        <v>907</v>
      </c>
      <c r="B19" t="s">
        <v>908</v>
      </c>
    </row>
    <row r="20" spans="1:2">
      <c r="A20" t="s">
        <v>909</v>
      </c>
      <c r="B20" t="s">
        <v>910</v>
      </c>
    </row>
    <row r="21" spans="1:2">
      <c r="A21" t="s">
        <v>911</v>
      </c>
      <c r="B21" t="s">
        <v>912</v>
      </c>
    </row>
    <row r="22" spans="1:2">
      <c r="A22" t="s">
        <v>913</v>
      </c>
      <c r="B22" t="s">
        <v>914</v>
      </c>
    </row>
    <row r="23" spans="1:2">
      <c r="A23" t="s">
        <v>915</v>
      </c>
      <c r="B23" t="s">
        <v>916</v>
      </c>
    </row>
    <row r="24" spans="1:2">
      <c r="A24" t="s">
        <v>917</v>
      </c>
      <c r="B24" t="s">
        <v>918</v>
      </c>
    </row>
    <row r="25" spans="1:2">
      <c r="A25" t="s">
        <v>919</v>
      </c>
      <c r="B25" t="s">
        <v>920</v>
      </c>
    </row>
    <row r="26" spans="1:2">
      <c r="A26" t="s">
        <v>921</v>
      </c>
      <c r="B26" t="s">
        <v>922</v>
      </c>
    </row>
    <row r="27" spans="1:2">
      <c r="A27" t="s">
        <v>923</v>
      </c>
      <c r="B27" t="s">
        <v>924</v>
      </c>
    </row>
    <row r="28" spans="1:2">
      <c r="A28" t="s">
        <v>925</v>
      </c>
      <c r="B28" t="s">
        <v>926</v>
      </c>
    </row>
    <row r="29" spans="1:2">
      <c r="A29" t="s">
        <v>927</v>
      </c>
      <c r="B29" t="s">
        <v>928</v>
      </c>
    </row>
    <row r="30" spans="1:2">
      <c r="A30" t="s">
        <v>929</v>
      </c>
      <c r="B30" t="s">
        <v>930</v>
      </c>
    </row>
    <row r="31" spans="1:2">
      <c r="A31" t="s">
        <v>931</v>
      </c>
      <c r="B31" t="s">
        <v>932</v>
      </c>
    </row>
    <row r="32" spans="1:2">
      <c r="A32" t="s">
        <v>933</v>
      </c>
      <c r="B32" t="s">
        <v>934</v>
      </c>
    </row>
    <row r="33" spans="1:2">
      <c r="A33" t="s">
        <v>935</v>
      </c>
      <c r="B33" t="s">
        <v>936</v>
      </c>
    </row>
    <row r="34" spans="1:2">
      <c r="A34" t="s">
        <v>937</v>
      </c>
      <c r="B34" t="s">
        <v>938</v>
      </c>
    </row>
    <row r="35" spans="1:2">
      <c r="A35" t="s">
        <v>939</v>
      </c>
      <c r="B35" t="s">
        <v>940</v>
      </c>
    </row>
    <row r="36" spans="1:2">
      <c r="A36" t="s">
        <v>941</v>
      </c>
      <c r="B36" t="s">
        <v>942</v>
      </c>
    </row>
    <row r="37" spans="1:2">
      <c r="A37" t="s">
        <v>943</v>
      </c>
      <c r="B37" t="s">
        <v>944</v>
      </c>
    </row>
    <row r="38" spans="1:2">
      <c r="A38" t="s">
        <v>945</v>
      </c>
      <c r="B38" t="s">
        <v>946</v>
      </c>
    </row>
    <row r="39" spans="1:2">
      <c r="A39" t="s">
        <v>947</v>
      </c>
      <c r="B39" t="s">
        <v>948</v>
      </c>
    </row>
    <row r="40" spans="1:2">
      <c r="A40" t="s">
        <v>949</v>
      </c>
      <c r="B40" t="s">
        <v>950</v>
      </c>
    </row>
    <row r="41" spans="1:2">
      <c r="A41" t="s">
        <v>951</v>
      </c>
      <c r="B41" t="s">
        <v>952</v>
      </c>
    </row>
    <row r="42" spans="1:2">
      <c r="A42" t="s">
        <v>953</v>
      </c>
      <c r="B42" t="s">
        <v>954</v>
      </c>
    </row>
    <row r="43" spans="1:2">
      <c r="A43" t="s">
        <v>955</v>
      </c>
      <c r="B43" t="s">
        <v>956</v>
      </c>
    </row>
    <row r="44" spans="1:2">
      <c r="A44" t="s">
        <v>957</v>
      </c>
      <c r="B44" t="s">
        <v>958</v>
      </c>
    </row>
    <row r="45" spans="1:2">
      <c r="A45" t="s">
        <v>959</v>
      </c>
      <c r="B45" t="s">
        <v>960</v>
      </c>
    </row>
    <row r="46" spans="1:2">
      <c r="A46" t="s">
        <v>961</v>
      </c>
      <c r="B46" t="s">
        <v>962</v>
      </c>
    </row>
    <row r="47" spans="1:2">
      <c r="A47" t="s">
        <v>963</v>
      </c>
      <c r="B47" t="s">
        <v>964</v>
      </c>
    </row>
    <row r="48" spans="1:2">
      <c r="A48" t="s">
        <v>965</v>
      </c>
      <c r="B48" t="s">
        <v>966</v>
      </c>
    </row>
    <row r="49" spans="1:2">
      <c r="A49" t="s">
        <v>967</v>
      </c>
      <c r="B49" t="s">
        <v>968</v>
      </c>
    </row>
    <row r="50" spans="1:2">
      <c r="A50" t="s">
        <v>969</v>
      </c>
      <c r="B50" t="s">
        <v>970</v>
      </c>
    </row>
    <row r="51" spans="1:2">
      <c r="A51" t="s">
        <v>971</v>
      </c>
      <c r="B51" t="s">
        <v>972</v>
      </c>
    </row>
    <row r="52" spans="1:2">
      <c r="A52" t="s">
        <v>973</v>
      </c>
      <c r="B52" t="s">
        <v>974</v>
      </c>
    </row>
    <row r="53" spans="1:2">
      <c r="A53" t="s">
        <v>975</v>
      </c>
      <c r="B53" t="s">
        <v>976</v>
      </c>
    </row>
    <row r="54" spans="1:2">
      <c r="A54" t="s">
        <v>977</v>
      </c>
      <c r="B54" t="s">
        <v>978</v>
      </c>
    </row>
    <row r="55" spans="1:2">
      <c r="A55" t="s">
        <v>979</v>
      </c>
      <c r="B55" t="s">
        <v>980</v>
      </c>
    </row>
    <row r="56" spans="1:2">
      <c r="A56" t="s">
        <v>981</v>
      </c>
      <c r="B56" t="s">
        <v>982</v>
      </c>
    </row>
    <row r="57" spans="1:2">
      <c r="A57" t="s">
        <v>983</v>
      </c>
      <c r="B57" t="s">
        <v>984</v>
      </c>
    </row>
    <row r="58" spans="1:2">
      <c r="A58" t="s">
        <v>985</v>
      </c>
      <c r="B58" t="s">
        <v>986</v>
      </c>
    </row>
    <row r="59" spans="1:2">
      <c r="A59" t="s">
        <v>987</v>
      </c>
      <c r="B59" t="s">
        <v>988</v>
      </c>
    </row>
    <row r="60" spans="1:2">
      <c r="A60" t="s">
        <v>989</v>
      </c>
      <c r="B60" t="s">
        <v>990</v>
      </c>
    </row>
    <row r="61" spans="1:2">
      <c r="A61" t="s">
        <v>991</v>
      </c>
      <c r="B61" t="s">
        <v>992</v>
      </c>
    </row>
    <row r="62" spans="1:2">
      <c r="A62" t="s">
        <v>993</v>
      </c>
      <c r="B62" t="s">
        <v>994</v>
      </c>
    </row>
    <row r="63" spans="1:2">
      <c r="A63" t="s">
        <v>995</v>
      </c>
      <c r="B63" t="s">
        <v>996</v>
      </c>
    </row>
    <row r="64" spans="1:2">
      <c r="A64" t="s">
        <v>997</v>
      </c>
      <c r="B64" t="s">
        <v>998</v>
      </c>
    </row>
    <row r="65" spans="1:2">
      <c r="A65" t="s">
        <v>999</v>
      </c>
      <c r="B65" t="s">
        <v>1000</v>
      </c>
    </row>
    <row r="66" spans="1:2">
      <c r="A66" t="s">
        <v>1001</v>
      </c>
      <c r="B66" t="s">
        <v>1002</v>
      </c>
    </row>
    <row r="67" spans="1:2">
      <c r="A67" t="s">
        <v>1003</v>
      </c>
      <c r="B67" t="s">
        <v>1004</v>
      </c>
    </row>
    <row r="68" spans="1:2">
      <c r="A68" t="s">
        <v>1005</v>
      </c>
      <c r="B68" t="s">
        <v>1006</v>
      </c>
    </row>
    <row r="69" spans="1:2">
      <c r="A69" t="s">
        <v>1007</v>
      </c>
      <c r="B69" t="s">
        <v>1008</v>
      </c>
    </row>
    <row r="70" spans="1:2">
      <c r="A70" t="s">
        <v>1009</v>
      </c>
      <c r="B70" t="s">
        <v>1010</v>
      </c>
    </row>
    <row r="71" spans="1:2">
      <c r="A71" t="s">
        <v>1011</v>
      </c>
      <c r="B71" t="s">
        <v>1012</v>
      </c>
    </row>
    <row r="72" spans="1:2">
      <c r="A72" t="s">
        <v>1013</v>
      </c>
      <c r="B72" t="s">
        <v>1014</v>
      </c>
    </row>
    <row r="73" spans="1:2">
      <c r="A73" t="s">
        <v>1015</v>
      </c>
      <c r="B73" t="s">
        <v>1016</v>
      </c>
    </row>
    <row r="74" spans="1:2">
      <c r="A74" t="s">
        <v>1017</v>
      </c>
      <c r="B74" t="s">
        <v>1018</v>
      </c>
    </row>
    <row r="75" spans="1:2">
      <c r="A75" t="s">
        <v>1019</v>
      </c>
      <c r="B75" t="s">
        <v>1020</v>
      </c>
    </row>
    <row r="76" spans="1:2">
      <c r="A76" t="s">
        <v>1021</v>
      </c>
      <c r="B76" t="s">
        <v>1022</v>
      </c>
    </row>
    <row r="77" spans="1:2">
      <c r="A77" t="s">
        <v>1023</v>
      </c>
      <c r="B77" t="s">
        <v>1024</v>
      </c>
    </row>
    <row r="78" spans="1:2">
      <c r="A78" t="s">
        <v>1025</v>
      </c>
      <c r="B78" t="s">
        <v>1026</v>
      </c>
    </row>
    <row r="79" spans="1:2">
      <c r="A79" t="s">
        <v>1027</v>
      </c>
      <c r="B79" t="s">
        <v>1028</v>
      </c>
    </row>
    <row r="80" spans="1:2">
      <c r="A80" t="s">
        <v>1029</v>
      </c>
      <c r="B80" t="s">
        <v>1030</v>
      </c>
    </row>
    <row r="81" spans="1:2">
      <c r="A81" t="s">
        <v>1031</v>
      </c>
      <c r="B81" t="s">
        <v>1032</v>
      </c>
    </row>
    <row r="82" spans="1:2">
      <c r="A82" t="s">
        <v>1033</v>
      </c>
      <c r="B82" t="s">
        <v>1034</v>
      </c>
    </row>
    <row r="83" spans="1:2">
      <c r="A83" t="s">
        <v>1035</v>
      </c>
      <c r="B83" t="s">
        <v>1036</v>
      </c>
    </row>
    <row r="84" spans="1:2">
      <c r="A84" t="s">
        <v>1037</v>
      </c>
      <c r="B84" t="s">
        <v>1038</v>
      </c>
    </row>
    <row r="85" spans="1:2">
      <c r="A85" t="s">
        <v>1039</v>
      </c>
      <c r="B85" t="s">
        <v>1040</v>
      </c>
    </row>
    <row r="86" spans="1:2">
      <c r="A86" t="s">
        <v>1041</v>
      </c>
      <c r="B86" t="s">
        <v>1042</v>
      </c>
    </row>
    <row r="87" spans="1:2">
      <c r="A87" t="s">
        <v>1043</v>
      </c>
      <c r="B87" t="s">
        <v>1044</v>
      </c>
    </row>
    <row r="88" spans="1:2">
      <c r="A88" t="s">
        <v>1045</v>
      </c>
      <c r="B88" t="s">
        <v>1046</v>
      </c>
    </row>
    <row r="89" spans="1:2">
      <c r="A89" t="s">
        <v>1047</v>
      </c>
      <c r="B89" t="s">
        <v>1048</v>
      </c>
    </row>
    <row r="90" spans="1:2">
      <c r="A90" t="s">
        <v>1049</v>
      </c>
      <c r="B90" t="s">
        <v>1050</v>
      </c>
    </row>
    <row r="91" spans="1:2">
      <c r="A91" t="s">
        <v>1051</v>
      </c>
      <c r="B91" t="s">
        <v>1052</v>
      </c>
    </row>
    <row r="92" spans="1:2">
      <c r="A92" t="s">
        <v>1053</v>
      </c>
      <c r="B92" t="s">
        <v>1054</v>
      </c>
    </row>
    <row r="93" spans="1:2">
      <c r="A93" t="s">
        <v>1055</v>
      </c>
      <c r="B93" t="s">
        <v>1056</v>
      </c>
    </row>
    <row r="94" spans="1:2">
      <c r="A94" t="s">
        <v>1057</v>
      </c>
      <c r="B94" t="s">
        <v>1058</v>
      </c>
    </row>
    <row r="95" spans="1:2">
      <c r="A95" t="s">
        <v>1059</v>
      </c>
      <c r="B95" t="s">
        <v>1060</v>
      </c>
    </row>
    <row r="96" spans="1:2">
      <c r="A96" t="s">
        <v>1061</v>
      </c>
      <c r="B96" t="s">
        <v>1062</v>
      </c>
    </row>
    <row r="97" spans="1:2">
      <c r="A97" t="s">
        <v>1063</v>
      </c>
      <c r="B97" t="s">
        <v>1064</v>
      </c>
    </row>
    <row r="98" spans="1:2">
      <c r="A98" t="s">
        <v>1065</v>
      </c>
      <c r="B98" t="s">
        <v>1066</v>
      </c>
    </row>
    <row r="99" spans="1:2">
      <c r="A99" t="s">
        <v>1067</v>
      </c>
      <c r="B99" t="s">
        <v>1068</v>
      </c>
    </row>
    <row r="100" spans="1:2">
      <c r="A100" t="s">
        <v>1069</v>
      </c>
      <c r="B100" t="s">
        <v>1070</v>
      </c>
    </row>
    <row r="101" spans="1:2">
      <c r="A101" t="s">
        <v>1071</v>
      </c>
      <c r="B101" t="s">
        <v>1072</v>
      </c>
    </row>
    <row r="102" spans="1:2">
      <c r="A102" t="s">
        <v>1073</v>
      </c>
      <c r="B102" t="s">
        <v>1074</v>
      </c>
    </row>
    <row r="103" spans="1:2">
      <c r="A103" t="s">
        <v>1075</v>
      </c>
      <c r="B103" t="s">
        <v>1076</v>
      </c>
    </row>
    <row r="104" spans="1:2">
      <c r="A104" t="s">
        <v>1077</v>
      </c>
      <c r="B104" t="s">
        <v>1078</v>
      </c>
    </row>
    <row r="105" spans="1:2">
      <c r="A105" t="s">
        <v>1079</v>
      </c>
      <c r="B105" t="s">
        <v>1080</v>
      </c>
    </row>
    <row r="106" spans="1:2">
      <c r="A106" t="s">
        <v>1081</v>
      </c>
      <c r="B106" t="s">
        <v>1082</v>
      </c>
    </row>
    <row r="107" spans="1:2">
      <c r="A107" t="s">
        <v>1083</v>
      </c>
      <c r="B107" t="s">
        <v>1084</v>
      </c>
    </row>
    <row r="108" spans="1:2">
      <c r="A108" t="s">
        <v>1085</v>
      </c>
      <c r="B108" t="s">
        <v>1086</v>
      </c>
    </row>
    <row r="109" spans="1:2">
      <c r="A109" t="s">
        <v>1087</v>
      </c>
      <c r="B109" t="s">
        <v>1088</v>
      </c>
    </row>
    <row r="110" spans="1:2">
      <c r="A110" t="s">
        <v>1089</v>
      </c>
      <c r="B110" t="s">
        <v>1090</v>
      </c>
    </row>
    <row r="111" spans="1:2">
      <c r="A111" t="s">
        <v>1091</v>
      </c>
      <c r="B111" t="s">
        <v>1092</v>
      </c>
    </row>
    <row r="112" spans="1:2">
      <c r="A112" t="s">
        <v>1093</v>
      </c>
      <c r="B112" t="s">
        <v>1094</v>
      </c>
    </row>
    <row r="113" spans="1:2">
      <c r="A113" t="s">
        <v>1095</v>
      </c>
      <c r="B113" t="s">
        <v>1096</v>
      </c>
    </row>
    <row r="114" spans="1:2">
      <c r="A114" t="s">
        <v>1097</v>
      </c>
      <c r="B114" t="s">
        <v>1098</v>
      </c>
    </row>
    <row r="115" spans="1:2">
      <c r="A115" t="s">
        <v>1099</v>
      </c>
      <c r="B115" t="s">
        <v>1100</v>
      </c>
    </row>
    <row r="116" spans="1:2">
      <c r="A116" t="s">
        <v>1101</v>
      </c>
      <c r="B116" t="s">
        <v>1102</v>
      </c>
    </row>
    <row r="117" spans="1:2">
      <c r="A117" t="s">
        <v>1103</v>
      </c>
      <c r="B117" t="s">
        <v>1104</v>
      </c>
    </row>
    <row r="118" spans="1:2">
      <c r="A118" t="s">
        <v>1105</v>
      </c>
      <c r="B118" t="s">
        <v>1106</v>
      </c>
    </row>
    <row r="119" spans="1:2">
      <c r="A119" t="s">
        <v>1107</v>
      </c>
      <c r="B119" t="s">
        <v>1108</v>
      </c>
    </row>
    <row r="120" spans="1:2">
      <c r="A120" t="s">
        <v>1109</v>
      </c>
      <c r="B120" t="s">
        <v>1110</v>
      </c>
    </row>
    <row r="121" spans="1:2">
      <c r="A121" t="s">
        <v>1111</v>
      </c>
      <c r="B121" t="s">
        <v>1112</v>
      </c>
    </row>
    <row r="122" spans="1:2">
      <c r="A122" t="s">
        <v>1113</v>
      </c>
      <c r="B122" t="s">
        <v>1114</v>
      </c>
    </row>
    <row r="123" spans="1:2">
      <c r="A123" t="s">
        <v>1115</v>
      </c>
      <c r="B123" t="s">
        <v>1116</v>
      </c>
    </row>
    <row r="124" spans="1:2">
      <c r="A124" t="s">
        <v>1117</v>
      </c>
      <c r="B124" t="s">
        <v>1118</v>
      </c>
    </row>
    <row r="125" spans="1:2">
      <c r="A125" t="s">
        <v>1119</v>
      </c>
      <c r="B125" t="s">
        <v>1120</v>
      </c>
    </row>
    <row r="126" spans="1:2">
      <c r="A126" t="s">
        <v>1121</v>
      </c>
      <c r="B126" t="s">
        <v>1122</v>
      </c>
    </row>
    <row r="127" spans="1:2">
      <c r="A127" t="s">
        <v>1123</v>
      </c>
      <c r="B127" t="s">
        <v>1124</v>
      </c>
    </row>
    <row r="128" spans="1:2">
      <c r="A128" t="s">
        <v>1125</v>
      </c>
      <c r="B128" t="s">
        <v>1126</v>
      </c>
    </row>
    <row r="129" spans="1:2">
      <c r="A129" t="s">
        <v>1127</v>
      </c>
      <c r="B129" t="s">
        <v>1128</v>
      </c>
    </row>
    <row r="130" spans="1:2">
      <c r="A130" t="s">
        <v>1129</v>
      </c>
      <c r="B130" t="s">
        <v>1130</v>
      </c>
    </row>
    <row r="131" spans="1:2">
      <c r="A131" t="s">
        <v>1131</v>
      </c>
      <c r="B131" t="s">
        <v>1132</v>
      </c>
    </row>
    <row r="132" spans="1:2">
      <c r="A132" t="s">
        <v>1133</v>
      </c>
      <c r="B132" t="s">
        <v>1134</v>
      </c>
    </row>
    <row r="133" spans="1:2">
      <c r="A133" t="s">
        <v>1135</v>
      </c>
      <c r="B133" t="s">
        <v>1136</v>
      </c>
    </row>
    <row r="134" spans="1:2">
      <c r="A134" t="s">
        <v>1137</v>
      </c>
      <c r="B134" t="s">
        <v>1138</v>
      </c>
    </row>
    <row r="135" spans="1:2">
      <c r="A135" t="s">
        <v>1139</v>
      </c>
      <c r="B135" t="s">
        <v>1140</v>
      </c>
    </row>
    <row r="136" spans="1:2">
      <c r="A136" t="s">
        <v>1141</v>
      </c>
      <c r="B136" t="s">
        <v>1142</v>
      </c>
    </row>
    <row r="137" spans="1:2">
      <c r="A137" t="s">
        <v>1143</v>
      </c>
      <c r="B137" t="s">
        <v>1144</v>
      </c>
    </row>
    <row r="138" spans="1:2">
      <c r="A138" t="s">
        <v>1145</v>
      </c>
      <c r="B138" t="s">
        <v>1146</v>
      </c>
    </row>
    <row r="139" spans="1:2">
      <c r="A139" t="s">
        <v>1147</v>
      </c>
      <c r="B139" t="s">
        <v>1148</v>
      </c>
    </row>
    <row r="140" spans="1:2">
      <c r="A140" t="s">
        <v>1149</v>
      </c>
      <c r="B140" t="s">
        <v>1150</v>
      </c>
    </row>
    <row r="141" spans="1:2">
      <c r="A141" t="s">
        <v>1151</v>
      </c>
      <c r="B141" t="s">
        <v>1152</v>
      </c>
    </row>
    <row r="142" spans="1:2">
      <c r="A142" t="s">
        <v>1153</v>
      </c>
      <c r="B142" t="s">
        <v>1154</v>
      </c>
    </row>
    <row r="143" spans="1:2">
      <c r="A143" t="s">
        <v>1155</v>
      </c>
      <c r="B143" t="s">
        <v>1156</v>
      </c>
    </row>
    <row r="144" spans="1:2">
      <c r="A144" t="s">
        <v>1157</v>
      </c>
      <c r="B144" t="s">
        <v>1158</v>
      </c>
    </row>
    <row r="145" spans="1:2">
      <c r="A145" t="s">
        <v>1159</v>
      </c>
      <c r="B145" t="s">
        <v>1160</v>
      </c>
    </row>
    <row r="146" spans="1:2">
      <c r="A146" t="s">
        <v>1161</v>
      </c>
      <c r="B146" t="s">
        <v>1162</v>
      </c>
    </row>
    <row r="147" spans="1:2">
      <c r="A147" t="s">
        <v>1163</v>
      </c>
      <c r="B147" t="s">
        <v>1164</v>
      </c>
    </row>
    <row r="148" spans="1:2">
      <c r="A148" t="s">
        <v>1165</v>
      </c>
      <c r="B148" t="s">
        <v>1166</v>
      </c>
    </row>
    <row r="149" spans="1:2">
      <c r="A149" t="s">
        <v>1167</v>
      </c>
      <c r="B149" t="s">
        <v>1168</v>
      </c>
    </row>
    <row r="150" spans="1:2">
      <c r="A150" t="s">
        <v>1169</v>
      </c>
      <c r="B150" t="s">
        <v>1170</v>
      </c>
    </row>
    <row r="151" spans="1:2">
      <c r="A151" t="s">
        <v>1171</v>
      </c>
      <c r="B151" t="s">
        <v>1172</v>
      </c>
    </row>
    <row r="152" spans="1:2">
      <c r="A152" t="s">
        <v>1173</v>
      </c>
      <c r="B152" t="s">
        <v>1174</v>
      </c>
    </row>
    <row r="153" spans="1:2">
      <c r="A153" t="s">
        <v>1175</v>
      </c>
      <c r="B153" t="s">
        <v>1176</v>
      </c>
    </row>
    <row r="154" spans="1:2">
      <c r="A154" t="s">
        <v>1177</v>
      </c>
      <c r="B154" t="s">
        <v>1178</v>
      </c>
    </row>
    <row r="155" spans="1:2">
      <c r="A155" t="s">
        <v>1179</v>
      </c>
      <c r="B155" t="s">
        <v>1180</v>
      </c>
    </row>
    <row r="156" spans="1:2">
      <c r="A156" t="s">
        <v>1181</v>
      </c>
      <c r="B156" t="s">
        <v>1182</v>
      </c>
    </row>
    <row r="157" spans="1:2">
      <c r="A157" t="s">
        <v>1183</v>
      </c>
      <c r="B157" t="s">
        <v>1184</v>
      </c>
    </row>
    <row r="158" spans="1:2">
      <c r="A158" t="s">
        <v>1185</v>
      </c>
      <c r="B158" t="s">
        <v>1186</v>
      </c>
    </row>
    <row r="159" spans="1:2">
      <c r="A159" t="s">
        <v>1187</v>
      </c>
      <c r="B159" t="s">
        <v>1188</v>
      </c>
    </row>
    <row r="160" spans="1:2">
      <c r="A160" t="s">
        <v>1189</v>
      </c>
      <c r="B160" t="s">
        <v>1190</v>
      </c>
    </row>
    <row r="161" spans="1:2">
      <c r="A161" t="s">
        <v>1191</v>
      </c>
      <c r="B161" t="s">
        <v>1192</v>
      </c>
    </row>
    <row r="162" spans="1:2">
      <c r="A162" t="s">
        <v>1193</v>
      </c>
      <c r="B162" t="s">
        <v>1194</v>
      </c>
    </row>
    <row r="163" spans="1:2">
      <c r="A163" t="s">
        <v>1195</v>
      </c>
      <c r="B163" t="s">
        <v>1196</v>
      </c>
    </row>
    <row r="164" spans="1:2">
      <c r="A164" t="s">
        <v>1197</v>
      </c>
      <c r="B164" t="s">
        <v>1198</v>
      </c>
    </row>
    <row r="165" spans="1:2">
      <c r="A165" t="s">
        <v>1199</v>
      </c>
      <c r="B165" t="s">
        <v>1200</v>
      </c>
    </row>
    <row r="166" spans="1:2">
      <c r="A166" t="s">
        <v>1201</v>
      </c>
      <c r="B166" t="s">
        <v>1202</v>
      </c>
    </row>
    <row r="167" spans="1:2">
      <c r="A167" t="s">
        <v>1203</v>
      </c>
      <c r="B167" t="s">
        <v>1204</v>
      </c>
    </row>
    <row r="168" spans="1:2">
      <c r="A168" t="s">
        <v>1205</v>
      </c>
      <c r="B168" t="s">
        <v>1206</v>
      </c>
    </row>
    <row r="169" spans="1:2">
      <c r="A169" t="s">
        <v>1207</v>
      </c>
      <c r="B169" t="s">
        <v>1208</v>
      </c>
    </row>
    <row r="170" spans="1:2">
      <c r="A170" t="s">
        <v>1209</v>
      </c>
      <c r="B170" t="s">
        <v>1210</v>
      </c>
    </row>
    <row r="171" spans="1:2">
      <c r="A171" t="s">
        <v>1211</v>
      </c>
      <c r="B171" t="s">
        <v>1212</v>
      </c>
    </row>
    <row r="172" spans="1:2">
      <c r="A172" t="s">
        <v>1213</v>
      </c>
      <c r="B172" t="s">
        <v>1214</v>
      </c>
    </row>
    <row r="173" spans="1:2">
      <c r="A173" t="s">
        <v>1215</v>
      </c>
      <c r="B173" t="s">
        <v>1216</v>
      </c>
    </row>
    <row r="174" spans="1:2">
      <c r="A174" t="s">
        <v>1217</v>
      </c>
      <c r="B174" t="s">
        <v>1218</v>
      </c>
    </row>
    <row r="175" spans="1:2">
      <c r="A175" t="s">
        <v>1219</v>
      </c>
      <c r="B175" t="s">
        <v>1220</v>
      </c>
    </row>
    <row r="176" spans="1:2">
      <c r="A176" t="s">
        <v>1221</v>
      </c>
      <c r="B176" t="s">
        <v>1222</v>
      </c>
    </row>
    <row r="177" spans="1:2">
      <c r="A177" t="s">
        <v>1223</v>
      </c>
      <c r="B177" t="s">
        <v>1224</v>
      </c>
    </row>
    <row r="178" spans="1:2">
      <c r="A178" t="s">
        <v>1225</v>
      </c>
      <c r="B178" t="s">
        <v>1226</v>
      </c>
    </row>
    <row r="179" spans="1:2">
      <c r="A179" t="s">
        <v>1227</v>
      </c>
      <c r="B179" t="s">
        <v>1228</v>
      </c>
    </row>
  </sheetData>
  <hyperlinks>
    <hyperlink ref="C1" location="Indice!A1" display="Índice" xr:uid="{00000000-0004-0000-2E00-000000000000}"/>
  </hyperlink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50"/>
  <sheetViews>
    <sheetView showGridLines="0" topLeftCell="A38" zoomScaleNormal="100" workbookViewId="0">
      <selection activeCell="D54" sqref="D54"/>
    </sheetView>
  </sheetViews>
  <sheetFormatPr baseColWidth="10" defaultColWidth="11.453125" defaultRowHeight="14.5"/>
  <cols>
    <col min="1" max="1" width="3.1796875" customWidth="1"/>
    <col min="2" max="2" width="63.36328125" style="5" customWidth="1"/>
    <col min="3" max="3" width="1.90625" style="5" customWidth="1"/>
    <col min="4" max="4" width="19.6328125" style="140" customWidth="1"/>
    <col min="5" max="5" width="0.90625" style="140" hidden="1" customWidth="1"/>
    <col min="6" max="6" width="1.453125" style="140" customWidth="1"/>
    <col min="7" max="7" width="18.1796875" style="140" customWidth="1"/>
    <col min="8" max="8" width="1.1796875" style="140" customWidth="1"/>
    <col min="9" max="9" width="18.81640625" style="140" customWidth="1"/>
    <col min="10" max="10" width="1.36328125" style="140" customWidth="1"/>
    <col min="11" max="11" width="20" style="140" customWidth="1"/>
    <col min="12" max="12" width="0.81640625" style="140" customWidth="1"/>
    <col min="13" max="13" width="18.453125" style="140" customWidth="1"/>
    <col min="14" max="14" width="0.81640625" style="140" customWidth="1"/>
    <col min="15" max="15" width="20.453125" style="140" customWidth="1"/>
    <col min="16" max="16" width="1.1796875" style="140" customWidth="1"/>
    <col min="17" max="17" width="19.81640625" style="140" customWidth="1"/>
    <col min="18" max="18" width="1.1796875" style="141" customWidth="1"/>
    <col min="19" max="19" width="19.54296875" style="141" customWidth="1"/>
    <col min="20" max="20" width="1.1796875" style="142" customWidth="1"/>
    <col min="21" max="21" width="13.453125" style="5" customWidth="1"/>
    <col min="22" max="22" width="1.1796875" style="5" customWidth="1"/>
    <col min="23" max="23" width="18.81640625" style="5" customWidth="1"/>
    <col min="24" max="24" width="16.26953125" style="143" customWidth="1"/>
    <col min="25" max="30" width="11.453125" style="143"/>
    <col min="31" max="1024" width="11.453125" style="5"/>
  </cols>
  <sheetData>
    <row r="1" spans="2:24" ht="25">
      <c r="B1" s="5" t="str">
        <f>Indice!C1</f>
        <v>KUROSU &amp; CIA. S.A.</v>
      </c>
      <c r="D1" s="144" t="str">
        <f>Indice!C1</f>
        <v>KUROSU &amp; CIA. S.A.</v>
      </c>
      <c r="E1" s="145"/>
      <c r="F1" s="145"/>
      <c r="G1" s="145"/>
      <c r="I1" s="146" t="s">
        <v>116</v>
      </c>
    </row>
    <row r="3" spans="2:24">
      <c r="O3" s="147"/>
      <c r="U3" s="148"/>
    </row>
    <row r="4" spans="2:24">
      <c r="C4" s="147"/>
      <c r="D4" s="147"/>
      <c r="E4" s="147"/>
      <c r="F4" s="147"/>
      <c r="G4" s="724" t="s">
        <v>246</v>
      </c>
      <c r="H4" s="724"/>
      <c r="I4" s="724"/>
      <c r="J4" s="724"/>
      <c r="K4" s="724"/>
      <c r="L4" s="147"/>
      <c r="M4" s="147"/>
      <c r="N4" s="147"/>
      <c r="O4" s="147"/>
      <c r="P4" s="147"/>
      <c r="Q4" s="147"/>
      <c r="U4" s="148"/>
    </row>
    <row r="5" spans="2:24">
      <c r="B5" s="147"/>
      <c r="C5" s="147"/>
      <c r="D5" s="147"/>
      <c r="E5" s="147"/>
      <c r="F5" s="149"/>
      <c r="G5" s="724" t="str">
        <f>IFERROR(IF(Indice!B8="","Al dia... de mes… de año 2XX2…","Al "&amp;DAY(Indice!B8)&amp;" de "&amp;VLOOKUP(MONTH(Indice!B8),Indice!S:T,2,0)&amp;" de "&amp;YEAR(Indice!B8)),"Al dia... de mes… de año 2XX2…")</f>
        <v>Al 31 de Marzo de 2025</v>
      </c>
      <c r="H5" s="724"/>
      <c r="I5" s="724"/>
      <c r="J5" s="724"/>
      <c r="K5" s="724"/>
      <c r="L5" s="147"/>
      <c r="M5" s="147"/>
      <c r="N5" s="147"/>
      <c r="O5" s="147"/>
      <c r="P5" s="147"/>
      <c r="Q5" s="147"/>
      <c r="U5" s="148"/>
    </row>
    <row r="6" spans="2:24">
      <c r="C6" s="150"/>
      <c r="D6" s="150"/>
      <c r="E6" s="150"/>
      <c r="F6" s="150"/>
      <c r="G6" s="725" t="s">
        <v>1230</v>
      </c>
      <c r="H6" s="725"/>
      <c r="I6" s="725"/>
      <c r="J6" s="725"/>
      <c r="K6" s="725"/>
      <c r="L6" s="150"/>
      <c r="M6" s="150"/>
      <c r="N6" s="150"/>
      <c r="O6" s="150"/>
      <c r="P6" s="150"/>
      <c r="Q6" s="150"/>
      <c r="U6" s="148"/>
    </row>
    <row r="7" spans="2:24">
      <c r="G7" s="725" t="s">
        <v>236</v>
      </c>
      <c r="H7" s="725"/>
      <c r="I7" s="725"/>
      <c r="J7" s="725"/>
      <c r="K7" s="725"/>
      <c r="L7" s="150"/>
      <c r="M7" s="150"/>
      <c r="N7" s="150"/>
      <c r="O7" s="150"/>
      <c r="P7" s="150"/>
      <c r="Q7" s="150"/>
      <c r="R7" s="150"/>
      <c r="S7" s="150"/>
      <c r="T7" s="150"/>
      <c r="U7" s="150"/>
      <c r="V7" s="150"/>
    </row>
    <row r="8" spans="2:24">
      <c r="B8" s="151"/>
      <c r="C8" s="151"/>
      <c r="D8" s="151"/>
      <c r="E8" s="151"/>
      <c r="F8" s="151"/>
      <c r="G8" s="151"/>
      <c r="H8" s="151"/>
      <c r="I8" s="151"/>
      <c r="J8" s="151"/>
      <c r="K8" s="151"/>
      <c r="L8" s="151"/>
      <c r="M8" s="151"/>
      <c r="N8" s="151"/>
      <c r="O8" s="151"/>
      <c r="P8" s="151"/>
      <c r="Q8" s="151"/>
      <c r="U8" s="148"/>
    </row>
    <row r="9" spans="2:24">
      <c r="B9" s="151"/>
      <c r="C9" s="151"/>
      <c r="D9" s="151"/>
      <c r="E9" s="151"/>
      <c r="F9" s="151"/>
      <c r="G9" s="151"/>
      <c r="H9" s="151"/>
      <c r="I9" s="151"/>
      <c r="J9" s="151"/>
      <c r="K9" s="151"/>
      <c r="L9" s="151"/>
      <c r="M9" s="151"/>
      <c r="N9" s="151"/>
      <c r="O9" s="151"/>
      <c r="P9" s="151"/>
      <c r="Q9" s="151"/>
      <c r="U9" s="148"/>
    </row>
    <row r="10" spans="2:24" ht="25.5" customHeight="1">
      <c r="B10" s="6"/>
      <c r="C10" s="6"/>
      <c r="D10" s="726" t="s">
        <v>247</v>
      </c>
      <c r="E10" s="726"/>
      <c r="F10" s="726"/>
      <c r="G10" s="726"/>
      <c r="H10" s="6"/>
      <c r="I10" s="6"/>
      <c r="J10" s="6"/>
      <c r="K10" s="6"/>
      <c r="L10" s="6"/>
      <c r="M10" s="726" t="s">
        <v>248</v>
      </c>
      <c r="N10" s="726"/>
      <c r="O10" s="726"/>
      <c r="P10" s="726"/>
      <c r="Q10" s="726"/>
      <c r="U10" s="148"/>
    </row>
    <row r="11" spans="2:24" ht="15" customHeight="1">
      <c r="B11" s="728"/>
      <c r="D11" s="727" t="s">
        <v>249</v>
      </c>
      <c r="E11" s="153" t="s">
        <v>250</v>
      </c>
      <c r="F11" s="154"/>
      <c r="G11" s="727" t="s">
        <v>251</v>
      </c>
      <c r="H11" s="154"/>
      <c r="I11" s="727" t="s">
        <v>63</v>
      </c>
      <c r="J11" s="154"/>
      <c r="K11" s="727" t="s">
        <v>252</v>
      </c>
      <c r="L11" s="154"/>
      <c r="M11" s="727" t="s">
        <v>65</v>
      </c>
      <c r="N11" s="154"/>
      <c r="O11" s="727" t="s">
        <v>253</v>
      </c>
      <c r="P11" s="154"/>
      <c r="Q11" s="727" t="s">
        <v>254</v>
      </c>
      <c r="S11" s="727" t="s">
        <v>255</v>
      </c>
      <c r="T11" s="155"/>
      <c r="U11" s="727" t="s">
        <v>256</v>
      </c>
      <c r="V11" s="154"/>
      <c r="W11" s="727" t="s">
        <v>257</v>
      </c>
    </row>
    <row r="12" spans="2:24" ht="15.75" customHeight="1">
      <c r="B12" s="728"/>
      <c r="D12" s="727"/>
      <c r="E12" s="153" t="s">
        <v>258</v>
      </c>
      <c r="F12" s="154"/>
      <c r="G12" s="727"/>
      <c r="H12" s="154"/>
      <c r="I12" s="727"/>
      <c r="J12" s="154"/>
      <c r="K12" s="727"/>
      <c r="L12" s="154"/>
      <c r="M12" s="727"/>
      <c r="N12" s="154"/>
      <c r="O12" s="727"/>
      <c r="P12" s="154"/>
      <c r="Q12" s="727" t="s">
        <v>257</v>
      </c>
      <c r="S12" s="727" t="s">
        <v>257</v>
      </c>
      <c r="T12" s="155"/>
      <c r="U12" s="727"/>
      <c r="V12" s="154"/>
      <c r="W12" s="727"/>
    </row>
    <row r="13" spans="2:24" ht="7.5" customHeight="1">
      <c r="S13" s="140"/>
      <c r="T13" s="156"/>
      <c r="U13" s="148"/>
    </row>
    <row r="14" spans="2:24">
      <c r="B14" s="157" t="str">
        <f>IFERROR(IF(Indice!B8="","Saldo al .. de  de 20X0 ","Saldo al "&amp;DAY(Indice!B8)&amp;" de "&amp;VLOOKUP(MONTH(Indice!B8),Indice!S:T,2,0)&amp;" de "&amp;YEAR(Indice!B8-730)),"Saldo al .. de  de 20X0 ")</f>
        <v>Saldo al 31 de Marzo de 2023</v>
      </c>
      <c r="C14" s="129"/>
      <c r="D14" s="158">
        <v>360000000000</v>
      </c>
      <c r="E14" s="158"/>
      <c r="G14" s="158">
        <v>0</v>
      </c>
      <c r="I14" s="158">
        <v>13806379440</v>
      </c>
      <c r="K14" s="158">
        <v>0</v>
      </c>
      <c r="M14" s="158">
        <v>35447137584</v>
      </c>
      <c r="O14" s="158">
        <v>0</v>
      </c>
      <c r="Q14" s="158">
        <v>101307544927</v>
      </c>
      <c r="S14" s="159">
        <v>36359080607</v>
      </c>
      <c r="T14" s="160"/>
      <c r="U14" s="161">
        <v>0</v>
      </c>
      <c r="V14" s="141"/>
      <c r="W14" s="158">
        <f>SUM(D14:S14)</f>
        <v>546920142558</v>
      </c>
      <c r="X14" s="142"/>
    </row>
    <row r="15" spans="2:24">
      <c r="B15" s="5" t="s">
        <v>259</v>
      </c>
      <c r="S15" s="140"/>
      <c r="T15" s="156"/>
      <c r="U15" s="140"/>
      <c r="V15" s="141"/>
      <c r="W15" s="140"/>
      <c r="X15" s="142"/>
    </row>
    <row r="16" spans="2:24">
      <c r="B16" s="157" t="s">
        <v>260</v>
      </c>
      <c r="D16" s="158">
        <f>D14</f>
        <v>360000000000</v>
      </c>
      <c r="E16" s="158"/>
      <c r="G16" s="158">
        <v>0</v>
      </c>
      <c r="I16" s="158">
        <f>I14</f>
        <v>13806379440</v>
      </c>
      <c r="K16" s="158">
        <v>0</v>
      </c>
      <c r="M16" s="158">
        <f>M14</f>
        <v>35447137584</v>
      </c>
      <c r="O16" s="158">
        <v>0</v>
      </c>
      <c r="Q16" s="158">
        <v>101307544927</v>
      </c>
      <c r="S16" s="158">
        <f>S14</f>
        <v>36359080607</v>
      </c>
      <c r="T16" s="160"/>
      <c r="U16" s="158">
        <v>0</v>
      </c>
      <c r="V16" s="141"/>
      <c r="W16" s="158">
        <f>SUM(D16:S16)</f>
        <v>546920142558</v>
      </c>
      <c r="X16" s="142"/>
    </row>
    <row r="17" spans="1:24" s="143" customFormat="1" ht="10" customHeight="1">
      <c r="A17" s="162"/>
      <c r="B17" s="163"/>
      <c r="D17" s="160"/>
      <c r="E17" s="160"/>
      <c r="F17" s="156"/>
      <c r="G17" s="160"/>
      <c r="H17" s="156"/>
      <c r="I17" s="160"/>
      <c r="J17" s="156"/>
      <c r="K17" s="160"/>
      <c r="L17" s="156"/>
      <c r="M17" s="160"/>
      <c r="N17" s="156"/>
      <c r="O17" s="160"/>
      <c r="P17" s="156"/>
      <c r="Q17" s="160"/>
      <c r="R17" s="142"/>
      <c r="S17" s="160"/>
      <c r="T17" s="160"/>
      <c r="U17" s="160"/>
      <c r="V17" s="142"/>
      <c r="W17" s="160"/>
      <c r="X17" s="142"/>
    </row>
    <row r="18" spans="1:24">
      <c r="B18" s="157" t="s">
        <v>261</v>
      </c>
      <c r="C18" s="129"/>
      <c r="D18" s="161">
        <v>0</v>
      </c>
      <c r="E18" s="164"/>
      <c r="F18" s="164"/>
      <c r="G18" s="161">
        <v>0</v>
      </c>
      <c r="H18" s="164"/>
      <c r="I18" s="161">
        <v>0</v>
      </c>
      <c r="J18" s="164"/>
      <c r="K18" s="161">
        <v>0</v>
      </c>
      <c r="L18" s="164"/>
      <c r="M18" s="161"/>
      <c r="N18" s="164"/>
      <c r="O18" s="161">
        <v>0</v>
      </c>
      <c r="P18" s="164"/>
      <c r="Q18" s="161"/>
      <c r="R18" s="165"/>
      <c r="S18" s="161">
        <v>-36359080607</v>
      </c>
      <c r="T18" s="166"/>
      <c r="U18" s="161">
        <v>0</v>
      </c>
      <c r="V18" s="165"/>
      <c r="W18" s="158">
        <f>SUM(D18:S18)</f>
        <v>-36359080607</v>
      </c>
    </row>
    <row r="19" spans="1:24" s="143" customFormat="1" ht="12" customHeight="1">
      <c r="B19" s="3" t="s">
        <v>262</v>
      </c>
      <c r="O19" s="167"/>
      <c r="Q19" s="140">
        <v>-41307544927</v>
      </c>
      <c r="S19" s="140"/>
      <c r="T19" s="156"/>
      <c r="U19" s="168"/>
      <c r="V19" s="169"/>
      <c r="W19" s="140">
        <f>SUM(D19:S19)</f>
        <v>-41307544927</v>
      </c>
    </row>
    <row r="20" spans="1:24">
      <c r="B20" s="157" t="s">
        <v>263</v>
      </c>
      <c r="D20" s="158">
        <v>60000000000</v>
      </c>
      <c r="G20" s="158">
        <v>0</v>
      </c>
      <c r="I20" s="158">
        <v>0</v>
      </c>
      <c r="J20" s="160"/>
      <c r="K20" s="158">
        <v>0</v>
      </c>
      <c r="L20" s="160"/>
      <c r="M20" s="158"/>
      <c r="N20" s="160"/>
      <c r="O20" s="158">
        <v>0</v>
      </c>
      <c r="P20" s="160"/>
      <c r="Q20" s="158">
        <v>-60000000000</v>
      </c>
      <c r="R20" s="160"/>
      <c r="S20" s="158">
        <v>0</v>
      </c>
      <c r="T20" s="160"/>
      <c r="U20" s="158">
        <v>0</v>
      </c>
      <c r="V20" s="160">
        <v>-62500000000</v>
      </c>
      <c r="W20" s="158">
        <f>SUM(D20:S20)</f>
        <v>0</v>
      </c>
    </row>
    <row r="21" spans="1:24" s="143" customFormat="1" ht="9.75" customHeight="1">
      <c r="B21" s="170" t="s">
        <v>264</v>
      </c>
      <c r="D21" s="160"/>
      <c r="E21" s="156"/>
      <c r="F21" s="156"/>
      <c r="G21" s="160"/>
      <c r="H21" s="156"/>
      <c r="I21" s="160"/>
      <c r="J21" s="156"/>
      <c r="K21" s="160"/>
      <c r="L21" s="156"/>
      <c r="M21" s="160"/>
      <c r="N21" s="156"/>
      <c r="O21" s="160"/>
      <c r="P21" s="156"/>
      <c r="Q21" s="160"/>
      <c r="R21" s="142"/>
      <c r="S21" s="160"/>
      <c r="T21" s="160"/>
      <c r="U21" s="160"/>
      <c r="V21" s="142"/>
      <c r="W21" s="160"/>
    </row>
    <row r="22" spans="1:24">
      <c r="B22" s="157" t="s">
        <v>265</v>
      </c>
      <c r="D22" s="158">
        <v>0</v>
      </c>
      <c r="G22" s="158">
        <v>0</v>
      </c>
      <c r="I22" s="158">
        <v>0</v>
      </c>
      <c r="K22" s="158">
        <v>0</v>
      </c>
      <c r="M22" s="158">
        <v>6235171096</v>
      </c>
      <c r="O22" s="158">
        <v>0</v>
      </c>
      <c r="Q22" s="158">
        <v>0</v>
      </c>
      <c r="S22" s="158">
        <v>0</v>
      </c>
      <c r="T22" s="160"/>
      <c r="U22" s="158">
        <v>0</v>
      </c>
      <c r="V22" s="141"/>
      <c r="W22" s="158">
        <f>SUM(D22:S22)</f>
        <v>6235171096</v>
      </c>
    </row>
    <row r="23" spans="1:24" s="143" customFormat="1" ht="8.25" customHeight="1">
      <c r="B23" s="163"/>
      <c r="D23" s="160"/>
      <c r="E23" s="156"/>
      <c r="F23" s="156"/>
      <c r="G23" s="160"/>
      <c r="H23" s="156"/>
      <c r="I23" s="160"/>
      <c r="J23" s="156"/>
      <c r="K23" s="160"/>
      <c r="L23" s="156"/>
      <c r="M23" s="160"/>
      <c r="N23" s="156"/>
      <c r="O23" s="160"/>
      <c r="P23" s="156"/>
      <c r="Q23" s="160"/>
      <c r="R23" s="142"/>
      <c r="S23" s="160"/>
      <c r="T23" s="160"/>
      <c r="U23" s="160"/>
      <c r="V23" s="142"/>
      <c r="W23" s="160"/>
    </row>
    <row r="24" spans="1:24" ht="14.25" customHeight="1">
      <c r="B24" s="157" t="s">
        <v>266</v>
      </c>
      <c r="D24" s="158">
        <v>0</v>
      </c>
      <c r="G24" s="158">
        <v>0</v>
      </c>
      <c r="I24" s="158">
        <v>0</v>
      </c>
      <c r="K24" s="158">
        <v>0</v>
      </c>
      <c r="M24" s="158"/>
      <c r="O24" s="158">
        <v>0</v>
      </c>
      <c r="Q24" s="158"/>
      <c r="S24" s="158">
        <v>118623646010</v>
      </c>
      <c r="T24" s="160"/>
      <c r="U24" s="158">
        <v>0</v>
      </c>
      <c r="V24" s="141"/>
      <c r="W24" s="158">
        <f>SUM(D24:S24)</f>
        <v>118623646010</v>
      </c>
      <c r="X24" s="171"/>
    </row>
    <row r="25" spans="1:24" s="143" customFormat="1" ht="13">
      <c r="B25" s="163"/>
      <c r="D25" s="160"/>
      <c r="E25" s="156"/>
      <c r="F25" s="156"/>
      <c r="G25" s="160"/>
      <c r="H25" s="156"/>
      <c r="I25" s="160"/>
      <c r="J25" s="156"/>
      <c r="K25" s="160"/>
      <c r="L25" s="156"/>
      <c r="M25" s="160"/>
      <c r="N25" s="156"/>
      <c r="O25" s="160"/>
      <c r="P25" s="156"/>
      <c r="Q25" s="160"/>
      <c r="R25" s="142"/>
      <c r="S25" s="160"/>
      <c r="T25" s="160"/>
      <c r="U25" s="160"/>
      <c r="V25" s="142"/>
      <c r="W25" s="160"/>
    </row>
    <row r="26" spans="1:24" s="143" customFormat="1" ht="12" customHeight="1">
      <c r="B26" s="157" t="s">
        <v>267</v>
      </c>
      <c r="D26" s="158">
        <f>D20+D16</f>
        <v>420000000000</v>
      </c>
      <c r="E26" s="158">
        <v>0</v>
      </c>
      <c r="F26" s="160">
        <v>0</v>
      </c>
      <c r="G26" s="158">
        <v>0</v>
      </c>
      <c r="H26" s="160">
        <v>0</v>
      </c>
      <c r="I26" s="158">
        <f>I20+I16</f>
        <v>13806379440</v>
      </c>
      <c r="J26" s="160">
        <v>0</v>
      </c>
      <c r="K26" s="158">
        <v>0</v>
      </c>
      <c r="L26" s="160">
        <v>0</v>
      </c>
      <c r="M26" s="158">
        <f>M20+M16+M22</f>
        <v>41682308680</v>
      </c>
      <c r="N26" s="160">
        <v>0</v>
      </c>
      <c r="O26" s="158">
        <v>0</v>
      </c>
      <c r="P26" s="141">
        <v>0</v>
      </c>
      <c r="Q26" s="158">
        <f>SUM(Q16:Q24)</f>
        <v>0</v>
      </c>
      <c r="R26" s="141">
        <v>0</v>
      </c>
      <c r="S26" s="158">
        <f>S24+S18+S16</f>
        <v>118623646010</v>
      </c>
      <c r="T26" s="160"/>
      <c r="U26" s="158">
        <v>0</v>
      </c>
      <c r="V26" s="160">
        <v>-62500000000</v>
      </c>
      <c r="W26" s="158">
        <f>SUM(D26:S26)</f>
        <v>594112334130</v>
      </c>
    </row>
    <row r="27" spans="1:24" s="143" customFormat="1" ht="12" customHeight="1">
      <c r="B27" s="163"/>
      <c r="D27" s="160"/>
      <c r="E27" s="160"/>
      <c r="F27" s="160"/>
      <c r="G27" s="160"/>
      <c r="H27" s="160"/>
      <c r="I27" s="160"/>
      <c r="J27" s="160"/>
      <c r="K27" s="160"/>
      <c r="L27" s="160"/>
      <c r="M27" s="160"/>
      <c r="N27" s="160"/>
      <c r="O27" s="160"/>
      <c r="P27" s="142"/>
      <c r="Q27" s="160"/>
      <c r="R27" s="142"/>
      <c r="S27" s="160"/>
      <c r="T27" s="160"/>
      <c r="U27" s="160"/>
      <c r="V27" s="160"/>
      <c r="W27" s="160"/>
    </row>
    <row r="28" spans="1:24" s="143" customFormat="1" ht="12" customHeight="1">
      <c r="B28" s="157" t="s">
        <v>268</v>
      </c>
      <c r="D28" s="158">
        <v>0</v>
      </c>
      <c r="E28" s="140"/>
      <c r="F28" s="140"/>
      <c r="G28" s="158">
        <v>0</v>
      </c>
      <c r="H28" s="140"/>
      <c r="I28" s="158">
        <v>0</v>
      </c>
      <c r="J28" s="140"/>
      <c r="K28" s="158">
        <v>0</v>
      </c>
      <c r="L28" s="140"/>
      <c r="M28" s="158">
        <v>0</v>
      </c>
      <c r="N28" s="140"/>
      <c r="O28" s="158">
        <v>0</v>
      </c>
      <c r="P28" s="160"/>
      <c r="Q28" s="158">
        <v>118623646010</v>
      </c>
      <c r="R28" s="141"/>
      <c r="S28" s="158">
        <v>-118623646010</v>
      </c>
      <c r="T28" s="160"/>
      <c r="U28" s="158">
        <v>0</v>
      </c>
      <c r="V28" s="141"/>
      <c r="W28" s="158">
        <f>SUM(D28:S28)</f>
        <v>0</v>
      </c>
    </row>
    <row r="29" spans="1:24" s="143" customFormat="1" ht="9.5" customHeight="1">
      <c r="B29" s="163"/>
      <c r="D29" s="160"/>
      <c r="E29" s="160"/>
      <c r="F29" s="160"/>
      <c r="G29" s="160"/>
      <c r="H29" s="160"/>
      <c r="I29" s="160"/>
      <c r="J29" s="160"/>
      <c r="K29" s="160"/>
      <c r="L29" s="160"/>
      <c r="M29" s="160"/>
      <c r="N29" s="160"/>
      <c r="O29" s="160"/>
      <c r="P29" s="142"/>
      <c r="Q29" s="160"/>
      <c r="R29" s="142"/>
      <c r="S29" s="160"/>
      <c r="T29" s="160"/>
      <c r="U29" s="160"/>
      <c r="V29" s="160"/>
      <c r="W29" s="160"/>
    </row>
    <row r="30" spans="1:24" ht="15.75" customHeight="1">
      <c r="B30" s="157" t="s">
        <v>269</v>
      </c>
      <c r="D30" s="158">
        <v>0</v>
      </c>
      <c r="G30" s="158">
        <v>0</v>
      </c>
      <c r="I30" s="158">
        <v>0</v>
      </c>
      <c r="K30" s="158">
        <v>0</v>
      </c>
      <c r="M30" s="158">
        <v>0</v>
      </c>
      <c r="O30" s="158">
        <v>0</v>
      </c>
      <c r="Q30" s="158">
        <v>0</v>
      </c>
      <c r="S30" s="158">
        <v>26053659222</v>
      </c>
      <c r="T30" s="160"/>
      <c r="U30" s="158">
        <v>0</v>
      </c>
      <c r="V30" s="141"/>
      <c r="W30" s="158">
        <f>SUM(D30:S30)</f>
        <v>26053659222</v>
      </c>
    </row>
    <row r="31" spans="1:24" ht="9" customHeight="1">
      <c r="S31" s="140"/>
      <c r="T31" s="156"/>
      <c r="U31" s="148"/>
    </row>
    <row r="32" spans="1:24">
      <c r="B32" s="157" t="s">
        <v>270</v>
      </c>
      <c r="C32" s="129"/>
      <c r="D32" s="161">
        <v>420000000000</v>
      </c>
      <c r="E32" s="172">
        <v>0</v>
      </c>
      <c r="F32" s="173"/>
      <c r="G32" s="161">
        <v>0</v>
      </c>
      <c r="H32" s="173"/>
      <c r="I32" s="161">
        <v>13806379440</v>
      </c>
      <c r="J32" s="173"/>
      <c r="K32" s="161">
        <v>0</v>
      </c>
      <c r="L32" s="173"/>
      <c r="M32" s="161">
        <v>41682308680</v>
      </c>
      <c r="N32" s="173"/>
      <c r="O32" s="161">
        <v>0</v>
      </c>
      <c r="P32" s="173"/>
      <c r="Q32" s="161">
        <v>118623646010</v>
      </c>
      <c r="S32" s="161">
        <v>26053659222</v>
      </c>
      <c r="T32" s="166"/>
      <c r="U32" s="161">
        <v>0</v>
      </c>
      <c r="V32" s="165"/>
      <c r="W32" s="158">
        <f>SUM(D32:S32)</f>
        <v>620165993352</v>
      </c>
    </row>
    <row r="33" spans="1:23" s="143" customFormat="1" ht="7.5" customHeight="1">
      <c r="A33" s="162"/>
      <c r="B33" s="163"/>
      <c r="C33" s="174"/>
      <c r="D33" s="166"/>
      <c r="E33" s="175"/>
      <c r="F33" s="176"/>
      <c r="G33" s="166"/>
      <c r="H33" s="176"/>
      <c r="I33" s="166"/>
      <c r="J33" s="176"/>
      <c r="K33" s="166"/>
      <c r="L33" s="176"/>
      <c r="M33" s="166"/>
      <c r="N33" s="176"/>
      <c r="O33" s="166"/>
      <c r="P33" s="176"/>
      <c r="Q33" s="166"/>
      <c r="R33" s="162"/>
      <c r="S33" s="166"/>
      <c r="T33" s="166"/>
      <c r="U33" s="166"/>
      <c r="V33" s="177"/>
      <c r="W33" s="160"/>
    </row>
    <row r="34" spans="1:23" s="143" customFormat="1">
      <c r="A34" s="162"/>
      <c r="B34" s="157" t="s">
        <v>271</v>
      </c>
      <c r="C34" s="129"/>
      <c r="D34" s="161">
        <v>0</v>
      </c>
      <c r="E34" s="164"/>
      <c r="F34" s="164"/>
      <c r="G34" s="161">
        <v>0</v>
      </c>
      <c r="H34" s="164"/>
      <c r="I34" s="161">
        <v>0</v>
      </c>
      <c r="J34" s="164"/>
      <c r="K34" s="161">
        <v>0</v>
      </c>
      <c r="L34" s="164"/>
      <c r="M34" s="161"/>
      <c r="N34" s="164"/>
      <c r="O34" s="161">
        <v>0</v>
      </c>
      <c r="P34" s="164"/>
      <c r="Q34" s="161"/>
      <c r="R34" s="165"/>
      <c r="S34" s="161">
        <v>-26053659222</v>
      </c>
      <c r="T34" s="166"/>
      <c r="U34" s="161">
        <v>0</v>
      </c>
      <c r="V34" s="165"/>
      <c r="W34" s="158">
        <f>SUM(D34:S34)</f>
        <v>-26053659222</v>
      </c>
    </row>
    <row r="35" spans="1:23" s="143" customFormat="1">
      <c r="A35" s="162"/>
      <c r="B35" s="3" t="s">
        <v>272</v>
      </c>
      <c r="D35" s="142"/>
      <c r="E35" s="142"/>
      <c r="F35" s="142"/>
      <c r="G35" s="142"/>
      <c r="H35" s="142"/>
      <c r="I35" s="142"/>
      <c r="J35" s="142"/>
      <c r="K35" s="142"/>
      <c r="L35" s="142"/>
      <c r="M35" s="142"/>
      <c r="N35" s="142"/>
      <c r="O35" s="142"/>
      <c r="P35" s="142"/>
      <c r="Q35" s="176">
        <v>-38623646010</v>
      </c>
      <c r="R35" s="142"/>
      <c r="S35" s="176"/>
      <c r="T35" s="142"/>
      <c r="U35" s="142"/>
      <c r="V35" s="142"/>
      <c r="W35" s="176">
        <f>SUM(D35:S35)</f>
        <v>-38623646010</v>
      </c>
    </row>
    <row r="36" spans="1:23" s="143" customFormat="1">
      <c r="A36" s="162"/>
      <c r="B36" s="157" t="s">
        <v>263</v>
      </c>
      <c r="C36" s="129"/>
      <c r="D36" s="161">
        <v>80000000000</v>
      </c>
      <c r="E36" s="161"/>
      <c r="F36" s="173"/>
      <c r="G36" s="161"/>
      <c r="H36" s="173"/>
      <c r="I36" s="161"/>
      <c r="J36" s="173"/>
      <c r="K36" s="161"/>
      <c r="L36" s="173"/>
      <c r="M36" s="161"/>
      <c r="N36" s="173"/>
      <c r="O36" s="161"/>
      <c r="P36" s="173"/>
      <c r="Q36" s="161">
        <v>-80000000000</v>
      </c>
      <c r="R36" s="141"/>
      <c r="S36" s="161">
        <v>0</v>
      </c>
      <c r="T36" s="166"/>
      <c r="U36" s="161"/>
      <c r="V36" s="165"/>
      <c r="W36" s="161">
        <f>SUM(D36:S36)</f>
        <v>0</v>
      </c>
    </row>
    <row r="37" spans="1:23" s="143" customFormat="1">
      <c r="A37" s="162"/>
      <c r="B37" s="170" t="s">
        <v>273</v>
      </c>
      <c r="C37" s="5"/>
      <c r="D37" s="140"/>
      <c r="E37" s="140"/>
      <c r="F37" s="140"/>
      <c r="G37" s="140"/>
      <c r="H37" s="140"/>
      <c r="I37" s="140"/>
      <c r="J37" s="140"/>
      <c r="K37" s="140"/>
      <c r="L37" s="140"/>
      <c r="M37" s="140"/>
      <c r="N37" s="140"/>
      <c r="O37" s="140"/>
      <c r="P37" s="140"/>
      <c r="Q37" s="140"/>
      <c r="R37" s="141"/>
      <c r="S37" s="140"/>
      <c r="T37" s="156"/>
      <c r="U37" s="148"/>
      <c r="V37" s="5"/>
      <c r="W37" s="5"/>
    </row>
    <row r="38" spans="1:23" s="143" customFormat="1">
      <c r="A38" s="162"/>
      <c r="B38" s="157" t="s">
        <v>265</v>
      </c>
      <c r="C38" s="129"/>
      <c r="D38" s="161"/>
      <c r="E38" s="161"/>
      <c r="F38" s="173"/>
      <c r="G38" s="161"/>
      <c r="H38" s="173"/>
      <c r="I38" s="161"/>
      <c r="J38" s="173"/>
      <c r="K38" s="161"/>
      <c r="L38" s="173"/>
      <c r="M38" s="161">
        <v>5494478098</v>
      </c>
      <c r="N38" s="173"/>
      <c r="O38" s="161"/>
      <c r="P38" s="173"/>
      <c r="Q38" s="161"/>
      <c r="R38" s="141"/>
      <c r="S38" s="161"/>
      <c r="T38" s="166"/>
      <c r="U38" s="161"/>
      <c r="V38" s="165"/>
      <c r="W38" s="161">
        <f>SUM(D38:S38)</f>
        <v>5494478098</v>
      </c>
    </row>
    <row r="39" spans="1:23" s="143" customFormat="1" ht="10.5" customHeight="1">
      <c r="A39" s="162"/>
      <c r="B39" s="170"/>
      <c r="C39" s="5"/>
      <c r="D39" s="140"/>
      <c r="E39" s="140"/>
      <c r="F39" s="140"/>
      <c r="G39" s="140"/>
      <c r="H39" s="140"/>
      <c r="I39" s="140"/>
      <c r="J39" s="140"/>
      <c r="K39" s="140"/>
      <c r="L39" s="140"/>
      <c r="M39" s="140"/>
      <c r="N39" s="140"/>
      <c r="O39" s="140"/>
      <c r="P39" s="140"/>
      <c r="Q39" s="140"/>
      <c r="R39" s="141"/>
      <c r="S39" s="140"/>
      <c r="T39" s="156"/>
      <c r="U39" s="148"/>
      <c r="V39" s="5"/>
      <c r="W39" s="5"/>
    </row>
    <row r="40" spans="1:23" s="143" customFormat="1">
      <c r="A40" s="162"/>
      <c r="B40" s="157" t="s">
        <v>274</v>
      </c>
      <c r="C40" s="5"/>
      <c r="D40" s="158">
        <v>0</v>
      </c>
      <c r="E40" s="158"/>
      <c r="F40" s="140"/>
      <c r="G40" s="158">
        <v>0</v>
      </c>
      <c r="H40" s="140"/>
      <c r="I40" s="158">
        <v>0</v>
      </c>
      <c r="J40" s="140"/>
      <c r="K40" s="158">
        <v>0</v>
      </c>
      <c r="L40" s="140"/>
      <c r="M40" s="158">
        <v>0</v>
      </c>
      <c r="N40" s="140"/>
      <c r="O40" s="158">
        <v>0</v>
      </c>
      <c r="P40" s="140"/>
      <c r="Q40" s="158">
        <v>0</v>
      </c>
      <c r="R40" s="141"/>
      <c r="S40" s="158">
        <v>104909231188</v>
      </c>
      <c r="T40" s="160"/>
      <c r="U40" s="158">
        <v>0</v>
      </c>
      <c r="V40" s="141"/>
      <c r="W40" s="161">
        <f>SUM(D40:S40)</f>
        <v>104909231188</v>
      </c>
    </row>
    <row r="41" spans="1:23" ht="10.5" customHeight="1">
      <c r="B41" s="163"/>
      <c r="C41" s="143"/>
      <c r="D41" s="160"/>
      <c r="E41" s="156"/>
      <c r="F41" s="156"/>
      <c r="G41" s="160"/>
      <c r="H41" s="156"/>
      <c r="I41" s="160"/>
      <c r="J41" s="156"/>
      <c r="K41" s="160"/>
      <c r="L41" s="156"/>
      <c r="M41" s="160"/>
      <c r="N41" s="156"/>
      <c r="O41" s="160"/>
      <c r="P41" s="156"/>
      <c r="Q41" s="160"/>
      <c r="R41" s="142"/>
      <c r="S41" s="160"/>
      <c r="T41" s="160"/>
      <c r="U41" s="160"/>
      <c r="V41" s="142"/>
      <c r="W41" s="160"/>
    </row>
    <row r="42" spans="1:23" ht="14" customHeight="1">
      <c r="B42" s="157" t="s">
        <v>275</v>
      </c>
      <c r="D42" s="158">
        <f>D36+D32</f>
        <v>500000000000</v>
      </c>
      <c r="E42" s="158">
        <v>0</v>
      </c>
      <c r="F42" s="160">
        <v>0</v>
      </c>
      <c r="G42" s="158">
        <v>0</v>
      </c>
      <c r="H42" s="160">
        <v>0</v>
      </c>
      <c r="I42" s="158">
        <f>I32</f>
        <v>13806379440</v>
      </c>
      <c r="J42" s="160">
        <v>0</v>
      </c>
      <c r="K42" s="158">
        <v>0</v>
      </c>
      <c r="L42" s="160">
        <v>0</v>
      </c>
      <c r="M42" s="158">
        <f>M38+M32</f>
        <v>47176786778</v>
      </c>
      <c r="N42" s="160">
        <v>0</v>
      </c>
      <c r="O42" s="158">
        <v>0</v>
      </c>
      <c r="P42" s="141">
        <v>0</v>
      </c>
      <c r="Q42" s="158">
        <f>Q36+Q35+Q32</f>
        <v>0</v>
      </c>
      <c r="R42" s="141">
        <v>0</v>
      </c>
      <c r="S42" s="158">
        <f>S40</f>
        <v>104909231188</v>
      </c>
      <c r="T42" s="160"/>
      <c r="U42" s="158">
        <v>0</v>
      </c>
      <c r="V42" s="160">
        <v>-62500000000</v>
      </c>
      <c r="W42" s="158">
        <f>SUM(D42:S42)</f>
        <v>665892397406</v>
      </c>
    </row>
    <row r="43" spans="1:23" ht="9" customHeight="1">
      <c r="S43" s="140"/>
      <c r="T43" s="156"/>
      <c r="U43" s="148"/>
    </row>
    <row r="44" spans="1:23" ht="11" customHeight="1">
      <c r="B44" s="157" t="s">
        <v>276</v>
      </c>
      <c r="C44" s="129"/>
      <c r="D44" s="161">
        <v>0</v>
      </c>
      <c r="E44" s="164"/>
      <c r="F44" s="164"/>
      <c r="G44" s="161">
        <v>0</v>
      </c>
      <c r="H44" s="164"/>
      <c r="I44" s="161">
        <v>0</v>
      </c>
      <c r="J44" s="164"/>
      <c r="K44" s="161">
        <v>0</v>
      </c>
      <c r="L44" s="164"/>
      <c r="M44" s="161"/>
      <c r="N44" s="164"/>
      <c r="O44" s="161">
        <v>0</v>
      </c>
      <c r="P44" s="164"/>
      <c r="Q44" s="161">
        <v>104909231188</v>
      </c>
      <c r="R44" s="165"/>
      <c r="S44" s="161">
        <v>-104909231188</v>
      </c>
      <c r="T44" s="166"/>
      <c r="U44" s="161">
        <v>0</v>
      </c>
      <c r="V44" s="165"/>
      <c r="W44" s="158">
        <f>SUM(D44:S44)</f>
        <v>0</v>
      </c>
    </row>
    <row r="45" spans="1:23" ht="9" customHeight="1">
      <c r="S45" s="140"/>
      <c r="T45" s="156"/>
      <c r="U45" s="148"/>
    </row>
    <row r="46" spans="1:23" ht="17" customHeight="1">
      <c r="B46" s="157" t="s">
        <v>266</v>
      </c>
      <c r="D46" s="158">
        <v>0</v>
      </c>
      <c r="G46" s="158">
        <v>0</v>
      </c>
      <c r="I46" s="158">
        <v>0</v>
      </c>
      <c r="K46" s="158">
        <v>0</v>
      </c>
      <c r="M46" s="158"/>
      <c r="O46" s="158">
        <v>0</v>
      </c>
      <c r="Q46" s="158"/>
      <c r="S46" s="158">
        <v>34775800568</v>
      </c>
      <c r="T46" s="160"/>
      <c r="U46" s="158">
        <v>0</v>
      </c>
      <c r="V46" s="141"/>
      <c r="W46" s="158">
        <f>S46</f>
        <v>34775800568</v>
      </c>
    </row>
    <row r="47" spans="1:23" ht="12.5" customHeight="1">
      <c r="S47" s="140"/>
      <c r="T47" s="156"/>
      <c r="U47" s="148"/>
    </row>
    <row r="48" spans="1:23">
      <c r="B48" s="157" t="str">
        <f>IFERROR(IF(Indice!B8="","Saldo al .. de  de 20X2 ","Saldo al "&amp;DAY(Indice!B8)&amp;" de "&amp;VLOOKUP(MONTH(Indice!B8),Indice!S:T,2,0)&amp;" de "&amp;YEAR(Indice!B8)),"Saldo al .. de  de 20X2 ")</f>
        <v>Saldo al 31 de Marzo de 2025</v>
      </c>
      <c r="C48" s="129"/>
      <c r="D48" s="161">
        <f>D42</f>
        <v>500000000000</v>
      </c>
      <c r="E48" s="161">
        <f>SUM(E25:E30)</f>
        <v>0</v>
      </c>
      <c r="F48" s="173"/>
      <c r="G48" s="161">
        <f>SUM(G24:G32)</f>
        <v>0</v>
      </c>
      <c r="H48" s="173"/>
      <c r="I48" s="161">
        <f>I42</f>
        <v>13806379440</v>
      </c>
      <c r="J48" s="173"/>
      <c r="K48" s="161">
        <f>SUM(K24:K32)</f>
        <v>0</v>
      </c>
      <c r="L48" s="173"/>
      <c r="M48" s="161">
        <f>M42</f>
        <v>47176786778</v>
      </c>
      <c r="N48" s="173"/>
      <c r="O48" s="161">
        <f>SUM(O24:O32)</f>
        <v>0</v>
      </c>
      <c r="P48" s="173"/>
      <c r="Q48" s="161">
        <f>Q44</f>
        <v>104909231188</v>
      </c>
      <c r="S48" s="161">
        <f>S46+S44+S42</f>
        <v>34775800568</v>
      </c>
      <c r="T48" s="166"/>
      <c r="U48" s="161">
        <f>SUM(U25:U30)</f>
        <v>0</v>
      </c>
      <c r="V48" s="165"/>
      <c r="W48" s="158">
        <f>SUM(D48:S48)</f>
        <v>700668197974</v>
      </c>
    </row>
    <row r="49" spans="2:23">
      <c r="B49" s="178" t="s">
        <v>233</v>
      </c>
      <c r="D49" s="165"/>
      <c r="E49" s="165"/>
      <c r="F49" s="165"/>
      <c r="G49" s="165"/>
      <c r="H49" s="165"/>
      <c r="I49" s="5"/>
      <c r="J49" s="5"/>
      <c r="L49" s="165"/>
      <c r="M49" s="165"/>
      <c r="N49" s="165"/>
      <c r="O49" s="165"/>
      <c r="P49" s="165"/>
      <c r="Q49" s="165"/>
      <c r="W49" s="166"/>
    </row>
    <row r="50" spans="2:23">
      <c r="W50" s="701">
        <f>700668197974-W48</f>
        <v>0</v>
      </c>
    </row>
  </sheetData>
  <mergeCells count="17">
    <mergeCell ref="S11:S12"/>
    <mergeCell ref="U11:U12"/>
    <mergeCell ref="W11:W12"/>
    <mergeCell ref="M10:Q10"/>
    <mergeCell ref="B11:B12"/>
    <mergeCell ref="D11:D12"/>
    <mergeCell ref="G11:G12"/>
    <mergeCell ref="I11:I12"/>
    <mergeCell ref="K11:K12"/>
    <mergeCell ref="M11:M12"/>
    <mergeCell ref="O11:O12"/>
    <mergeCell ref="Q11:Q12"/>
    <mergeCell ref="G4:K4"/>
    <mergeCell ref="G5:K5"/>
    <mergeCell ref="G6:K6"/>
    <mergeCell ref="G7:K7"/>
    <mergeCell ref="D10:G10"/>
  </mergeCells>
  <hyperlinks>
    <hyperlink ref="I1" location="Indice!A1" display="Indice" xr:uid="{00000000-0004-0000-0400-000000000000}"/>
  </hyperlinks>
  <pageMargins left="0.70833333333333304" right="0.70833333333333304" top="0.74791666666666701" bottom="0.74791666666666701" header="0.511811023622047" footer="0.511811023622047"/>
  <pageSetup paperSize="14" scale="6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36"/>
  <sheetViews>
    <sheetView showGridLines="0" topLeftCell="A28" zoomScaleNormal="100" workbookViewId="0">
      <selection activeCell="C46" sqref="C46"/>
    </sheetView>
  </sheetViews>
  <sheetFormatPr baseColWidth="10" defaultColWidth="10.81640625" defaultRowHeight="14.5"/>
  <cols>
    <col min="1" max="1" width="78" style="150" customWidth="1"/>
    <col min="2" max="2" width="21.1796875" style="179" customWidth="1"/>
    <col min="3" max="3" width="27.54296875" style="180" customWidth="1"/>
    <col min="4" max="4" width="2.453125" style="150" customWidth="1"/>
    <col min="5" max="5" width="28.26953125" style="150" customWidth="1"/>
    <col min="6" max="8" width="20.453125" style="150" customWidth="1"/>
    <col min="9" max="9" width="16.453125" style="180" customWidth="1"/>
    <col min="10" max="1024" width="10.81640625" style="150"/>
  </cols>
  <sheetData>
    <row r="1" spans="1:5" ht="30">
      <c r="A1" s="181" t="str">
        <f>Indice!C1</f>
        <v>KUROSU &amp; CIA. S.A.</v>
      </c>
    </row>
    <row r="2" spans="1:5" s="150" customFormat="1" ht="14">
      <c r="A2" s="182"/>
      <c r="B2" s="183"/>
      <c r="C2" s="184"/>
    </row>
    <row r="3" spans="1:5" s="150" customFormat="1" ht="14" hidden="1">
      <c r="A3" s="729"/>
      <c r="B3" s="729"/>
      <c r="C3" s="729"/>
    </row>
    <row r="4" spans="1:5" s="150" customFormat="1" ht="14">
      <c r="A4" s="182"/>
      <c r="B4" s="183"/>
      <c r="C4" s="184"/>
    </row>
    <row r="5" spans="1:5" s="5" customFormat="1" ht="14">
      <c r="A5" s="724" t="s">
        <v>277</v>
      </c>
      <c r="B5" s="724"/>
      <c r="C5" s="724"/>
    </row>
    <row r="6" spans="1:5" s="5" customFormat="1" ht="14">
      <c r="A6" s="724" t="str">
        <f>IFERROR(IF(Indice!B8="","Al dia... de mes… de año 2XX2…","Al "&amp;DAY(Indice!B8)&amp;" de "&amp;VLOOKUP(MONTH(Indice!B8),Indice!S:T,2,0)&amp;" de "&amp;YEAR(Indice!B8)),"Al dia... de mes… de año 2XX2…")</f>
        <v>Al 31 de Marzo de 2025</v>
      </c>
      <c r="B6" s="724"/>
      <c r="C6" s="724"/>
    </row>
    <row r="7" spans="1:5" s="5" customFormat="1" ht="14">
      <c r="A7" s="730" t="s">
        <v>1229</v>
      </c>
      <c r="B7" s="730"/>
      <c r="C7" s="730"/>
    </row>
    <row r="8" spans="1:5" s="5" customFormat="1" ht="14">
      <c r="A8" s="186" t="s">
        <v>236</v>
      </c>
      <c r="B8" s="186"/>
      <c r="C8" s="150"/>
    </row>
    <row r="9" spans="1:5" s="5" customFormat="1" ht="14">
      <c r="A9" s="185"/>
      <c r="B9" s="187"/>
      <c r="C9" s="182"/>
    </row>
    <row r="10" spans="1:5" s="5" customFormat="1" ht="14">
      <c r="A10" s="185"/>
      <c r="B10" s="187"/>
      <c r="C10" s="182"/>
    </row>
    <row r="11" spans="1:5" s="5" customFormat="1" ht="15.5">
      <c r="A11" s="188"/>
      <c r="B11" s="188">
        <f>IFERROR(IF(Indice!B8="","2XX2",YEAR(Indice!B8)),"2XX2")</f>
        <v>2025</v>
      </c>
      <c r="C11" s="188">
        <f>IFERROR(YEAR(Indice!B8-365),"2XX1")</f>
        <v>2024</v>
      </c>
    </row>
    <row r="12" spans="1:5" s="5" customFormat="1" ht="14">
      <c r="A12" s="150"/>
      <c r="B12" s="179"/>
      <c r="C12" s="180"/>
      <c r="E12" s="190"/>
    </row>
    <row r="13" spans="1:5" s="5" customFormat="1" ht="14">
      <c r="A13" s="147" t="s">
        <v>278</v>
      </c>
      <c r="B13" s="179"/>
      <c r="C13" s="180"/>
    </row>
    <row r="14" spans="1:5" s="5" customFormat="1" ht="14">
      <c r="A14" s="150" t="s">
        <v>279</v>
      </c>
      <c r="B14" s="189">
        <v>331954320524</v>
      </c>
      <c r="C14" s="190">
        <v>300641926131</v>
      </c>
    </row>
    <row r="15" spans="1:5" s="5" customFormat="1" ht="14">
      <c r="A15" s="150" t="s">
        <v>280</v>
      </c>
      <c r="B15" s="191">
        <v>-166083045438</v>
      </c>
      <c r="C15" s="192">
        <v>-342402201518</v>
      </c>
    </row>
    <row r="16" spans="1:5" s="5" customFormat="1" ht="14">
      <c r="A16" s="150" t="s">
        <v>281</v>
      </c>
      <c r="B16" s="191">
        <v>-11962136540</v>
      </c>
      <c r="C16" s="192">
        <v>-6815691578</v>
      </c>
    </row>
    <row r="17" spans="1:6" s="5" customFormat="1" ht="14">
      <c r="A17" s="150" t="s">
        <v>282</v>
      </c>
      <c r="B17" s="193">
        <v>-9652412650</v>
      </c>
      <c r="C17" s="194">
        <v>-11212244159</v>
      </c>
    </row>
    <row r="18" spans="1:6" s="5" customFormat="1" ht="14">
      <c r="A18" s="150" t="s">
        <v>283</v>
      </c>
      <c r="B18" s="5">
        <v>0</v>
      </c>
      <c r="C18" s="194">
        <v>-2924897706</v>
      </c>
    </row>
    <row r="19" spans="1:6" s="5" customFormat="1" ht="14">
      <c r="A19" s="150" t="s">
        <v>284</v>
      </c>
      <c r="B19" s="191">
        <v>1401650815</v>
      </c>
      <c r="C19" s="194">
        <v>-1329223673</v>
      </c>
    </row>
    <row r="20" spans="1:6" s="5" customFormat="1" ht="14">
      <c r="A20" s="195" t="s">
        <v>285</v>
      </c>
      <c r="B20" s="196">
        <f>SUM(B14:B19)</f>
        <v>145658376711</v>
      </c>
      <c r="C20" s="197">
        <f>SUM(C14:C19)</f>
        <v>-64042332503</v>
      </c>
      <c r="E20" s="198"/>
      <c r="F20" s="198"/>
    </row>
    <row r="21" spans="1:6" s="5" customFormat="1" ht="14">
      <c r="A21" s="150"/>
      <c r="B21" s="179"/>
      <c r="C21" s="180"/>
    </row>
    <row r="22" spans="1:6" s="5" customFormat="1" ht="14">
      <c r="A22" s="147" t="s">
        <v>286</v>
      </c>
      <c r="B22" s="179"/>
      <c r="C22" s="180"/>
    </row>
    <row r="23" spans="1:6" s="5" customFormat="1" ht="14">
      <c r="A23" s="150" t="s">
        <v>287</v>
      </c>
      <c r="B23" s="199">
        <v>-711997728</v>
      </c>
      <c r="C23" s="200">
        <v>-2748911561</v>
      </c>
    </row>
    <row r="24" spans="1:6" s="5" customFormat="1" ht="14">
      <c r="A24" s="150" t="s">
        <v>288</v>
      </c>
      <c r="B24" s="199">
        <v>-72167303</v>
      </c>
      <c r="C24" s="201">
        <v>32767713134</v>
      </c>
    </row>
    <row r="25" spans="1:6" s="5" customFormat="1" ht="14">
      <c r="A25" s="195" t="s">
        <v>289</v>
      </c>
      <c r="B25" s="196">
        <f>SUM(B23:B24)</f>
        <v>-784165031</v>
      </c>
      <c r="C25" s="197">
        <f>SUM(C23:C24)</f>
        <v>30018801573</v>
      </c>
      <c r="E25" s="198"/>
      <c r="F25" s="198"/>
    </row>
    <row r="26" spans="1:6" s="5" customFormat="1" ht="14">
      <c r="A26" s="150"/>
      <c r="B26" s="179"/>
      <c r="C26" s="180"/>
    </row>
    <row r="27" spans="1:6" s="5" customFormat="1" ht="14">
      <c r="A27" s="147" t="s">
        <v>290</v>
      </c>
      <c r="B27" s="179"/>
      <c r="C27" s="180"/>
    </row>
    <row r="28" spans="1:6" s="5" customFormat="1" ht="14">
      <c r="A28" s="150" t="s">
        <v>291</v>
      </c>
      <c r="B28" s="191">
        <v>-109857585525</v>
      </c>
      <c r="C28" s="192">
        <v>32515152501</v>
      </c>
    </row>
    <row r="29" spans="1:6" s="5" customFormat="1" ht="14">
      <c r="A29" s="150" t="s">
        <v>292</v>
      </c>
      <c r="B29" s="191">
        <v>0</v>
      </c>
      <c r="C29" s="192">
        <v>0</v>
      </c>
    </row>
    <row r="30" spans="1:6" s="5" customFormat="1" ht="14">
      <c r="A30" s="195" t="s">
        <v>293</v>
      </c>
      <c r="B30" s="197">
        <f>B28+B29</f>
        <v>-109857585525</v>
      </c>
      <c r="C30" s="197">
        <f>C28+C29</f>
        <v>32515152501</v>
      </c>
      <c r="E30" s="198"/>
      <c r="F30" s="198"/>
    </row>
    <row r="31" spans="1:6" s="5" customFormat="1" ht="14">
      <c r="A31" s="202"/>
      <c r="B31" s="203"/>
      <c r="C31" s="204"/>
    </row>
    <row r="32" spans="1:6" s="5" customFormat="1" ht="14">
      <c r="A32" s="150" t="s">
        <v>294</v>
      </c>
      <c r="B32" s="191">
        <f>B30+B25+B20</f>
        <v>35016626155</v>
      </c>
      <c r="C32" s="191">
        <f>C30+C25+C20</f>
        <v>-1508378429</v>
      </c>
      <c r="E32" s="198"/>
      <c r="F32" s="198"/>
    </row>
    <row r="33" spans="1:5">
      <c r="A33" s="150" t="s">
        <v>295</v>
      </c>
      <c r="B33" s="199">
        <v>1536475004</v>
      </c>
      <c r="C33" s="200">
        <v>-2177102205</v>
      </c>
      <c r="E33" s="205"/>
    </row>
    <row r="34" spans="1:5" s="5" customFormat="1" ht="14">
      <c r="A34" s="150" t="s">
        <v>296</v>
      </c>
      <c r="B34" s="179">
        <v>26764302638</v>
      </c>
      <c r="C34" s="180">
        <v>54078286618</v>
      </c>
    </row>
    <row r="35" spans="1:5" s="5" customFormat="1" ht="17">
      <c r="A35" s="206" t="s">
        <v>297</v>
      </c>
      <c r="B35" s="207">
        <f>SUM(B32:B34)</f>
        <v>63317403797</v>
      </c>
      <c r="C35" s="208">
        <f>+SUM(C32:C34)</f>
        <v>50392805984</v>
      </c>
    </row>
    <row r="36" spans="1:5">
      <c r="A36" s="182" t="s">
        <v>233</v>
      </c>
      <c r="B36" s="209"/>
      <c r="C36" s="210"/>
    </row>
  </sheetData>
  <mergeCells count="4">
    <mergeCell ref="A3:C3"/>
    <mergeCell ref="A5:C5"/>
    <mergeCell ref="A6:C6"/>
    <mergeCell ref="A7:C7"/>
  </mergeCells>
  <pageMargins left="0.70833333333333304" right="0.70833333333333304" top="0.74791666666666701" bottom="0.74791666666666701" header="0.511811023622047" footer="0.511811023622047"/>
  <pageSetup paperSize="9" scale="68"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55"/>
  <sheetViews>
    <sheetView showGridLines="0" topLeftCell="A40" zoomScaleNormal="100" workbookViewId="0">
      <selection activeCell="E56" sqref="E56"/>
    </sheetView>
  </sheetViews>
  <sheetFormatPr baseColWidth="10" defaultColWidth="11.453125" defaultRowHeight="14.5"/>
  <cols>
    <col min="1" max="6" width="11.453125" style="150"/>
    <col min="7" max="7" width="18.1796875" style="150" customWidth="1"/>
    <col min="8" max="8" width="11.453125" style="150"/>
    <col min="9" max="9" width="42.81640625" style="150" customWidth="1"/>
    <col min="10" max="1024" width="11.453125" style="150"/>
  </cols>
  <sheetData>
    <row r="1" spans="1:12" ht="21" customHeight="1">
      <c r="A1" s="144" t="str">
        <f>Indice!C1</f>
        <v>KUROSU &amp; CIA. S.A.</v>
      </c>
      <c r="I1" s="211" t="s">
        <v>23</v>
      </c>
    </row>
    <row r="5" spans="1:12" ht="15" customHeight="1"/>
    <row r="6" spans="1:12" ht="15" customHeight="1">
      <c r="A6" s="212" t="s">
        <v>298</v>
      </c>
      <c r="B6" s="212"/>
      <c r="C6" s="212"/>
      <c r="D6" s="212"/>
      <c r="E6" s="212"/>
      <c r="F6" s="212"/>
      <c r="G6" s="212"/>
      <c r="H6" s="212" t="str">
        <f>IFERROR(IF(Indice!B8="","Al dia... de mes… de año 2XX2…","Al "&amp;DAY(Indice!B8)&amp;" de "&amp;VLOOKUP(MONTH(Indice!B8),Indice!S:T,2,0)&amp;" de "&amp;YEAR(Indice!B8)),"Al dia... de mes… de año 2XX2…")</f>
        <v>Al 31 de Marzo de 2025</v>
      </c>
      <c r="I6" s="212"/>
      <c r="J6" s="213"/>
      <c r="K6" s="213"/>
      <c r="L6" s="213"/>
    </row>
    <row r="7" spans="1:12" ht="15" customHeight="1">
      <c r="A7" s="213" t="s">
        <v>299</v>
      </c>
      <c r="B7" s="213"/>
      <c r="C7" s="213"/>
      <c r="D7" s="213"/>
      <c r="E7" s="213"/>
      <c r="F7" s="213" t="str">
        <f>IFERROR("Al "&amp;DAY(Indice!B8)&amp;" de "&amp;VLOOKUP(MONTH(Indice!B8),Indice!S:T,2,0)&amp;" de "&amp;YEAR(Indice!B8-365),"Al dia... de mes… de año 2XX1…")</f>
        <v>Al 31 de Marzo de 2024</v>
      </c>
      <c r="G7" s="213"/>
      <c r="H7" s="213"/>
      <c r="I7" s="213"/>
      <c r="J7" s="213"/>
      <c r="K7" s="213"/>
      <c r="L7" s="213"/>
    </row>
    <row r="8" spans="1:12" ht="15" customHeight="1"/>
    <row r="9" spans="1:12" ht="15" customHeight="1">
      <c r="A9" s="214" t="s">
        <v>300</v>
      </c>
      <c r="B9" s="215"/>
      <c r="C9" s="215"/>
      <c r="D9" s="215"/>
      <c r="E9" s="215"/>
      <c r="F9" s="215"/>
      <c r="G9" s="215"/>
      <c r="H9" s="215"/>
      <c r="I9" s="216"/>
      <c r="J9" s="731"/>
      <c r="K9" s="731"/>
      <c r="L9" s="731"/>
    </row>
    <row r="10" spans="1:12" ht="18.75" customHeight="1">
      <c r="A10" s="732" t="s">
        <v>301</v>
      </c>
      <c r="B10" s="732"/>
      <c r="C10" s="732"/>
      <c r="D10" s="732"/>
      <c r="E10" s="732"/>
      <c r="F10" s="732"/>
      <c r="G10" s="732"/>
      <c r="H10" s="732"/>
      <c r="I10" s="732"/>
      <c r="J10" s="9"/>
      <c r="K10" s="9"/>
      <c r="L10" s="9"/>
    </row>
    <row r="11" spans="1:12" ht="15" customHeight="1">
      <c r="A11" s="217"/>
      <c r="I11" s="218"/>
    </row>
    <row r="12" spans="1:12" ht="54.75" customHeight="1">
      <c r="A12" s="733" t="s">
        <v>302</v>
      </c>
      <c r="B12" s="733"/>
      <c r="C12" s="733"/>
      <c r="D12" s="733"/>
      <c r="E12" s="733"/>
      <c r="F12" s="733"/>
      <c r="G12" s="733"/>
      <c r="H12" s="733"/>
      <c r="I12" s="733"/>
    </row>
    <row r="13" spans="1:12" ht="15" customHeight="1">
      <c r="A13" s="734" t="s">
        <v>123</v>
      </c>
      <c r="B13" s="734"/>
      <c r="C13" s="734"/>
      <c r="D13" s="734"/>
      <c r="E13" s="734"/>
      <c r="F13" s="734"/>
      <c r="G13" s="734"/>
      <c r="H13" s="734"/>
      <c r="I13" s="734"/>
    </row>
    <row r="14" spans="1:12" ht="15" customHeight="1">
      <c r="A14" s="734"/>
      <c r="B14" s="734"/>
      <c r="C14" s="734"/>
      <c r="D14" s="734"/>
      <c r="E14" s="734"/>
      <c r="F14" s="734"/>
      <c r="G14" s="734"/>
      <c r="H14" s="734"/>
      <c r="I14" s="734"/>
    </row>
    <row r="15" spans="1:12" ht="15" customHeight="1">
      <c r="A15" s="734"/>
      <c r="B15" s="734"/>
      <c r="C15" s="734"/>
      <c r="D15" s="734"/>
      <c r="E15" s="734"/>
      <c r="F15" s="734"/>
      <c r="G15" s="734"/>
      <c r="H15" s="734"/>
      <c r="I15" s="734"/>
    </row>
    <row r="16" spans="1:12" ht="15" customHeight="1">
      <c r="A16" s="734" t="s">
        <v>124</v>
      </c>
      <c r="B16" s="734"/>
      <c r="C16" s="734"/>
      <c r="D16" s="734"/>
      <c r="E16" s="734"/>
      <c r="F16" s="734"/>
      <c r="G16" s="734"/>
      <c r="H16" s="734"/>
      <c r="I16" s="734"/>
    </row>
    <row r="17" spans="1:9" ht="15" customHeight="1">
      <c r="A17" s="734"/>
      <c r="B17" s="734"/>
      <c r="C17" s="734"/>
      <c r="D17" s="734"/>
      <c r="E17" s="734"/>
      <c r="F17" s="734"/>
      <c r="G17" s="734"/>
      <c r="H17" s="734"/>
      <c r="I17" s="734"/>
    </row>
    <row r="18" spans="1:9" ht="15" customHeight="1">
      <c r="A18" s="734"/>
      <c r="B18" s="734"/>
      <c r="C18" s="734"/>
      <c r="D18" s="734"/>
      <c r="E18" s="734"/>
      <c r="F18" s="734"/>
      <c r="G18" s="734"/>
      <c r="H18" s="734"/>
      <c r="I18" s="734"/>
    </row>
    <row r="19" spans="1:9" ht="15" customHeight="1">
      <c r="A19" s="734" t="s">
        <v>125</v>
      </c>
      <c r="B19" s="734"/>
      <c r="C19" s="734"/>
      <c r="D19" s="734"/>
      <c r="E19" s="734"/>
      <c r="F19" s="734"/>
      <c r="G19" s="734"/>
      <c r="H19" s="734"/>
      <c r="I19" s="734"/>
    </row>
    <row r="20" spans="1:9" ht="15" customHeight="1">
      <c r="A20" s="734"/>
      <c r="B20" s="734"/>
      <c r="C20" s="734"/>
      <c r="D20" s="734"/>
      <c r="E20" s="734"/>
      <c r="F20" s="734"/>
      <c r="G20" s="734"/>
      <c r="H20" s="734"/>
      <c r="I20" s="734"/>
    </row>
    <row r="21" spans="1:9" ht="17.25" customHeight="1">
      <c r="A21" s="734"/>
      <c r="B21" s="734"/>
      <c r="C21" s="734"/>
      <c r="D21" s="734"/>
      <c r="E21" s="734"/>
      <c r="F21" s="734"/>
      <c r="G21" s="734"/>
      <c r="H21" s="734"/>
      <c r="I21" s="734"/>
    </row>
    <row r="22" spans="1:9" ht="15" customHeight="1">
      <c r="A22" s="734" t="s">
        <v>126</v>
      </c>
      <c r="B22" s="734"/>
      <c r="C22" s="734"/>
      <c r="D22" s="734"/>
      <c r="E22" s="734"/>
      <c r="F22" s="734"/>
      <c r="G22" s="734"/>
      <c r="H22" s="734"/>
      <c r="I22" s="734"/>
    </row>
    <row r="23" spans="1:9" ht="15" customHeight="1">
      <c r="A23" s="734"/>
      <c r="B23" s="734"/>
      <c r="C23" s="734"/>
      <c r="D23" s="734"/>
      <c r="E23" s="734"/>
      <c r="F23" s="734"/>
      <c r="G23" s="734"/>
      <c r="H23" s="734"/>
      <c r="I23" s="734"/>
    </row>
    <row r="24" spans="1:9" ht="15" customHeight="1">
      <c r="A24" s="734"/>
      <c r="B24" s="734"/>
      <c r="C24" s="734"/>
      <c r="D24" s="734"/>
      <c r="E24" s="734"/>
      <c r="F24" s="734"/>
      <c r="G24" s="734"/>
      <c r="H24" s="734"/>
      <c r="I24" s="734"/>
    </row>
    <row r="25" spans="1:9" ht="15" customHeight="1">
      <c r="A25" s="734" t="s">
        <v>127</v>
      </c>
      <c r="B25" s="734"/>
      <c r="C25" s="734"/>
      <c r="D25" s="734"/>
      <c r="E25" s="734"/>
      <c r="F25" s="734"/>
      <c r="G25" s="734"/>
      <c r="H25" s="734"/>
      <c r="I25" s="734"/>
    </row>
    <row r="26" spans="1:9" ht="15" customHeight="1">
      <c r="A26" s="734"/>
      <c r="B26" s="734"/>
      <c r="C26" s="734"/>
      <c r="D26" s="734"/>
      <c r="E26" s="734"/>
      <c r="F26" s="734"/>
      <c r="G26" s="734"/>
      <c r="H26" s="734"/>
      <c r="I26" s="734"/>
    </row>
    <row r="27" spans="1:9" ht="17.25" customHeight="1">
      <c r="A27" s="734"/>
      <c r="B27" s="734"/>
      <c r="C27" s="734"/>
      <c r="D27" s="734"/>
      <c r="E27" s="734"/>
      <c r="F27" s="734"/>
      <c r="G27" s="734"/>
      <c r="H27" s="734"/>
      <c r="I27" s="734"/>
    </row>
    <row r="28" spans="1:9" ht="15" customHeight="1">
      <c r="A28" s="737" t="s">
        <v>128</v>
      </c>
      <c r="B28" s="737"/>
      <c r="C28" s="737"/>
      <c r="D28" s="737"/>
      <c r="E28" s="737"/>
      <c r="F28" s="737"/>
      <c r="G28" s="737"/>
      <c r="H28" s="737"/>
      <c r="I28" s="737"/>
    </row>
    <row r="29" spans="1:9" ht="15" customHeight="1">
      <c r="A29" s="737"/>
      <c r="B29" s="737"/>
      <c r="C29" s="737"/>
      <c r="D29" s="737"/>
      <c r="E29" s="737"/>
      <c r="F29" s="737"/>
      <c r="G29" s="737"/>
      <c r="H29" s="737"/>
      <c r="I29" s="737"/>
    </row>
    <row r="30" spans="1:9" ht="15" customHeight="1">
      <c r="A30" s="737"/>
      <c r="B30" s="737"/>
      <c r="C30" s="737"/>
      <c r="D30" s="737"/>
      <c r="E30" s="737"/>
      <c r="F30" s="737"/>
      <c r="G30" s="737"/>
      <c r="H30" s="737"/>
      <c r="I30" s="737"/>
    </row>
    <row r="31" spans="1:9" ht="26.25" customHeight="1">
      <c r="A31" s="737"/>
      <c r="B31" s="737"/>
      <c r="C31" s="737"/>
      <c r="D31" s="737"/>
      <c r="E31" s="737"/>
      <c r="F31" s="737"/>
      <c r="G31" s="737"/>
      <c r="H31" s="737"/>
      <c r="I31" s="737"/>
    </row>
    <row r="32" spans="1:9" ht="15" customHeight="1">
      <c r="A32" s="737" t="s">
        <v>129</v>
      </c>
      <c r="B32" s="737"/>
      <c r="C32" s="737"/>
      <c r="D32" s="737"/>
      <c r="E32" s="737"/>
      <c r="F32" s="737"/>
      <c r="G32" s="737"/>
      <c r="H32" s="737"/>
      <c r="I32" s="737"/>
    </row>
    <row r="33" spans="1:9" ht="15" customHeight="1">
      <c r="A33" s="737"/>
      <c r="B33" s="737"/>
      <c r="C33" s="737"/>
      <c r="D33" s="737"/>
      <c r="E33" s="737"/>
      <c r="F33" s="737"/>
      <c r="G33" s="737"/>
      <c r="H33" s="737"/>
      <c r="I33" s="737"/>
    </row>
    <row r="34" spans="1:9" ht="18" customHeight="1">
      <c r="A34" s="737"/>
      <c r="B34" s="737"/>
      <c r="C34" s="737"/>
      <c r="D34" s="737"/>
      <c r="E34" s="737"/>
      <c r="F34" s="737"/>
      <c r="G34" s="737"/>
      <c r="H34" s="737"/>
      <c r="I34" s="737"/>
    </row>
    <row r="35" spans="1:9" ht="15" customHeight="1">
      <c r="A35" s="734" t="s">
        <v>130</v>
      </c>
      <c r="B35" s="734"/>
      <c r="C35" s="734"/>
      <c r="D35" s="734"/>
      <c r="E35" s="734"/>
      <c r="F35" s="734"/>
      <c r="G35" s="734"/>
      <c r="H35" s="734"/>
      <c r="I35" s="734"/>
    </row>
    <row r="36" spans="1:9" ht="15" customHeight="1">
      <c r="A36" s="734"/>
      <c r="B36" s="734"/>
      <c r="C36" s="734"/>
      <c r="D36" s="734"/>
      <c r="E36" s="734"/>
      <c r="F36" s="734"/>
      <c r="G36" s="734"/>
      <c r="H36" s="734"/>
      <c r="I36" s="734"/>
    </row>
    <row r="37" spans="1:9" ht="13.5" customHeight="1">
      <c r="A37" s="734"/>
      <c r="B37" s="734"/>
      <c r="C37" s="734"/>
      <c r="D37" s="734"/>
      <c r="E37" s="734"/>
      <c r="F37" s="734"/>
      <c r="G37" s="734"/>
      <c r="H37" s="734"/>
      <c r="I37" s="734"/>
    </row>
    <row r="38" spans="1:9" ht="15" customHeight="1">
      <c r="A38" s="219" t="s">
        <v>303</v>
      </c>
      <c r="B38" s="219"/>
      <c r="C38" s="219"/>
      <c r="D38" s="219"/>
      <c r="E38" s="219"/>
      <c r="F38" s="219"/>
      <c r="G38" s="219"/>
      <c r="H38" s="219"/>
      <c r="I38" s="220"/>
    </row>
    <row r="39" spans="1:9" ht="15" customHeight="1">
      <c r="A39" s="219" t="s">
        <v>304</v>
      </c>
      <c r="B39" s="219"/>
      <c r="C39" s="219"/>
      <c r="D39" s="219"/>
      <c r="E39" s="219"/>
      <c r="F39" s="219"/>
      <c r="G39" s="219"/>
      <c r="H39" s="219"/>
      <c r="I39" s="220"/>
    </row>
    <row r="40" spans="1:9" ht="15" customHeight="1">
      <c r="A40" s="219" t="s">
        <v>305</v>
      </c>
      <c r="B40" s="219"/>
      <c r="C40" s="219"/>
      <c r="D40" s="219"/>
      <c r="E40" s="219"/>
      <c r="F40" s="219"/>
      <c r="G40" s="219"/>
      <c r="H40" s="219"/>
      <c r="I40" s="221"/>
    </row>
    <row r="41" spans="1:9" ht="7.5" customHeight="1">
      <c r="A41" s="217"/>
      <c r="I41" s="218"/>
    </row>
    <row r="42" spans="1:9" ht="15" customHeight="1">
      <c r="A42" s="219" t="s">
        <v>306</v>
      </c>
      <c r="B42" s="219"/>
      <c r="C42" s="219"/>
      <c r="D42" s="219"/>
      <c r="E42" s="219"/>
      <c r="F42" s="219"/>
      <c r="G42" s="219"/>
      <c r="H42" s="219"/>
      <c r="I42" s="220"/>
    </row>
    <row r="43" spans="1:9" ht="15" customHeight="1">
      <c r="A43" s="219" t="s">
        <v>307</v>
      </c>
      <c r="B43" s="219"/>
      <c r="C43" s="219"/>
      <c r="D43" s="219"/>
      <c r="E43" s="219"/>
      <c r="F43" s="219"/>
      <c r="G43" s="219"/>
      <c r="H43" s="219"/>
      <c r="I43" s="220"/>
    </row>
    <row r="44" spans="1:9" ht="15" customHeight="1">
      <c r="A44" s="219" t="s">
        <v>308</v>
      </c>
      <c r="B44" s="219"/>
      <c r="C44" s="219"/>
      <c r="D44" s="219"/>
      <c r="E44" s="219"/>
      <c r="F44" s="219"/>
      <c r="G44" s="219"/>
      <c r="H44" s="219"/>
      <c r="I44" s="221"/>
    </row>
    <row r="45" spans="1:9" ht="8.25" customHeight="1">
      <c r="A45" s="217"/>
      <c r="I45" s="218"/>
    </row>
    <row r="46" spans="1:9" ht="15" customHeight="1">
      <c r="A46" s="222" t="s">
        <v>309</v>
      </c>
      <c r="B46" s="219"/>
      <c r="C46" s="219"/>
      <c r="D46" s="219"/>
      <c r="E46" s="219"/>
      <c r="F46" s="219"/>
      <c r="G46" s="219"/>
      <c r="H46" s="219"/>
      <c r="I46" s="221"/>
    </row>
    <row r="47" spans="1:9" ht="15" customHeight="1">
      <c r="A47" s="219" t="s">
        <v>310</v>
      </c>
      <c r="B47" s="219"/>
      <c r="C47" s="219"/>
      <c r="D47" s="219"/>
      <c r="E47" s="219"/>
      <c r="F47" s="219"/>
      <c r="G47" s="219"/>
      <c r="H47" s="219"/>
      <c r="I47" s="221"/>
    </row>
    <row r="48" spans="1:9">
      <c r="I48" s="218"/>
    </row>
    <row r="49" spans="1:9">
      <c r="A49" s="222" t="s">
        <v>311</v>
      </c>
      <c r="B49" s="219"/>
      <c r="C49" s="219"/>
      <c r="D49" s="219"/>
      <c r="E49" s="219"/>
      <c r="F49" s="219"/>
      <c r="G49" s="219"/>
      <c r="H49" s="219"/>
      <c r="I49" s="221"/>
    </row>
    <row r="50" spans="1:9">
      <c r="A50" s="222" t="s">
        <v>312</v>
      </c>
      <c r="B50" s="219"/>
      <c r="C50" s="219"/>
      <c r="D50" s="219"/>
      <c r="E50" s="219"/>
      <c r="F50" s="219"/>
      <c r="G50" s="219"/>
      <c r="H50" s="219"/>
      <c r="I50" s="221"/>
    </row>
    <row r="51" spans="1:9" ht="15" customHeight="1">
      <c r="A51" s="222" t="s">
        <v>313</v>
      </c>
      <c r="B51" s="219"/>
      <c r="C51" s="219"/>
      <c r="D51" s="219"/>
      <c r="E51" s="219"/>
      <c r="F51" s="219"/>
      <c r="G51" s="219"/>
      <c r="H51" s="219"/>
      <c r="I51" s="221"/>
    </row>
    <row r="52" spans="1:9">
      <c r="A52" s="222"/>
      <c r="B52" s="219"/>
      <c r="C52" s="219"/>
      <c r="D52" s="219"/>
      <c r="E52" s="219"/>
      <c r="F52" s="219"/>
      <c r="G52" s="219"/>
      <c r="H52" s="219"/>
      <c r="I52" s="221"/>
    </row>
    <row r="53" spans="1:9" ht="13.5" customHeight="1">
      <c r="A53" s="735" t="s">
        <v>314</v>
      </c>
      <c r="B53" s="735"/>
      <c r="C53" s="735"/>
      <c r="D53" s="735"/>
      <c r="E53" s="735"/>
      <c r="F53" s="735"/>
      <c r="G53" s="735"/>
      <c r="H53" s="735"/>
      <c r="I53" s="735"/>
    </row>
    <row r="54" spans="1:9" ht="15" customHeight="1">
      <c r="A54" s="5" t="s">
        <v>315</v>
      </c>
      <c r="B54" s="219"/>
      <c r="C54" s="219"/>
      <c r="D54" s="219"/>
      <c r="E54" s="219"/>
      <c r="F54" s="219"/>
      <c r="G54" s="219"/>
      <c r="H54" s="219"/>
      <c r="I54" s="221"/>
    </row>
    <row r="55" spans="1:9" ht="15" customHeight="1">
      <c r="A55" s="736"/>
      <c r="B55" s="736"/>
      <c r="C55" s="223"/>
      <c r="D55" s="223"/>
      <c r="E55" s="223"/>
      <c r="F55" s="223"/>
      <c r="G55" s="223"/>
      <c r="H55" s="223"/>
      <c r="I55" s="224"/>
    </row>
  </sheetData>
  <mergeCells count="13">
    <mergeCell ref="A35:I37"/>
    <mergeCell ref="A53:I53"/>
    <mergeCell ref="A55:B55"/>
    <mergeCell ref="A19:I21"/>
    <mergeCell ref="A22:I24"/>
    <mergeCell ref="A25:I27"/>
    <mergeCell ref="A28:I31"/>
    <mergeCell ref="A32:I34"/>
    <mergeCell ref="J9:L9"/>
    <mergeCell ref="A10:I10"/>
    <mergeCell ref="A12:I12"/>
    <mergeCell ref="A13:I15"/>
    <mergeCell ref="A16:I18"/>
  </mergeCells>
  <hyperlinks>
    <hyperlink ref="I1" location="BG!A1" display="BG" xr:uid="{00000000-0004-0000-0600-000000000000}"/>
  </hyperlinks>
  <pageMargins left="0.70833333333333304" right="0.70833333333333304" top="0.74791666666666701" bottom="0.74791666666666701" header="0.511811023622047" footer="0.511811023622047"/>
  <pageSetup paperSize="5"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MJ83"/>
  <sheetViews>
    <sheetView showGridLines="0" tabSelected="1" topLeftCell="A31" zoomScaleNormal="100" workbookViewId="0">
      <selection activeCell="F47" sqref="F47"/>
    </sheetView>
  </sheetViews>
  <sheetFormatPr baseColWidth="10" defaultColWidth="11.453125" defaultRowHeight="14.5"/>
  <cols>
    <col min="1" max="1" width="31.453125" style="5" customWidth="1"/>
    <col min="2" max="2" width="21.54296875" style="5" customWidth="1"/>
    <col min="3" max="3" width="15.453125" style="5" customWidth="1"/>
    <col min="4" max="4" width="20.81640625" style="5" customWidth="1"/>
    <col min="5" max="5" width="11.453125" style="5"/>
    <col min="6" max="6" width="26.36328125" style="5" customWidth="1"/>
    <col min="7" max="7" width="15.453125" style="5" customWidth="1"/>
    <col min="8" max="8" width="15.81640625" style="5" customWidth="1"/>
    <col min="9" max="9" width="6.7265625" style="5" customWidth="1"/>
    <col min="10" max="10" width="13.54296875" style="148" customWidth="1"/>
    <col min="11" max="11" width="14.81640625" style="148" customWidth="1"/>
    <col min="12" max="12" width="11.453125" style="225"/>
    <col min="13" max="19" width="11.453125" style="226"/>
    <col min="20" max="1024" width="11.453125" style="5"/>
  </cols>
  <sheetData>
    <row r="2" spans="1:11" s="5" customFormat="1" ht="21.75" customHeight="1">
      <c r="A2" s="144" t="str">
        <f>Indice!C1</f>
        <v>KUROSU &amp; CIA. S.A.</v>
      </c>
      <c r="I2" s="211" t="s">
        <v>23</v>
      </c>
      <c r="J2" s="148"/>
      <c r="K2" s="148"/>
    </row>
    <row r="3" spans="1:11" s="5" customFormat="1" ht="21.75" customHeight="1">
      <c r="J3" s="148"/>
      <c r="K3" s="148"/>
    </row>
    <row r="4" spans="1:11" s="5" customFormat="1" ht="21.75" customHeight="1">
      <c r="A4" s="738" t="s">
        <v>316</v>
      </c>
      <c r="B4" s="738"/>
      <c r="C4" s="738"/>
      <c r="D4" s="738"/>
      <c r="E4" s="738"/>
      <c r="F4" s="738"/>
      <c r="G4" s="738"/>
      <c r="H4" s="738"/>
      <c r="I4" s="738"/>
      <c r="J4" s="148"/>
      <c r="K4" s="148"/>
    </row>
    <row r="5" spans="1:11" s="5" customFormat="1" ht="11.25" customHeight="1">
      <c r="A5" s="739"/>
      <c r="B5" s="739"/>
      <c r="C5" s="739"/>
      <c r="D5" s="739"/>
      <c r="E5" s="739"/>
      <c r="F5" s="739"/>
      <c r="G5" s="739"/>
      <c r="H5" s="739"/>
      <c r="I5" s="739"/>
      <c r="J5" s="148"/>
      <c r="K5" s="148"/>
    </row>
    <row r="6" spans="1:11" s="5" customFormat="1" ht="12.75" customHeight="1">
      <c r="A6" s="740" t="s">
        <v>317</v>
      </c>
      <c r="B6" s="740"/>
      <c r="C6" s="740"/>
      <c r="D6" s="740"/>
      <c r="E6" s="740"/>
      <c r="F6" s="740"/>
      <c r="G6" s="740"/>
      <c r="H6" s="740"/>
      <c r="I6" s="740"/>
      <c r="J6" s="148"/>
      <c r="K6" s="148"/>
    </row>
    <row r="7" spans="1:11" s="178" customFormat="1" ht="58.5" customHeight="1">
      <c r="A7" s="741" t="s">
        <v>318</v>
      </c>
      <c r="B7" s="741"/>
      <c r="C7" s="741"/>
      <c r="D7" s="741"/>
      <c r="E7" s="741"/>
      <c r="F7" s="741"/>
      <c r="G7" s="741"/>
      <c r="H7" s="741"/>
      <c r="I7" s="741"/>
      <c r="J7" s="227"/>
      <c r="K7" s="227"/>
    </row>
    <row r="8" spans="1:11" s="178" customFormat="1" ht="16.5" customHeight="1">
      <c r="A8" s="228" t="s">
        <v>319</v>
      </c>
      <c r="B8" s="229"/>
      <c r="C8" s="230"/>
      <c r="D8" s="230"/>
      <c r="E8" s="230"/>
      <c r="F8" s="230"/>
      <c r="G8" s="230"/>
      <c r="H8" s="230"/>
      <c r="I8" s="231"/>
      <c r="J8" s="227"/>
      <c r="K8" s="227"/>
    </row>
    <row r="9" spans="1:11" s="178" customFormat="1" ht="42" customHeight="1">
      <c r="A9" s="742" t="s">
        <v>320</v>
      </c>
      <c r="B9" s="742"/>
      <c r="C9" s="742"/>
      <c r="D9" s="742"/>
      <c r="E9" s="742"/>
      <c r="F9" s="742"/>
      <c r="G9" s="742"/>
      <c r="H9" s="742"/>
      <c r="I9" s="742"/>
      <c r="J9" s="227"/>
      <c r="K9" s="227"/>
    </row>
    <row r="10" spans="1:11" s="178" customFormat="1" ht="18" customHeight="1">
      <c r="A10" s="228" t="s">
        <v>321</v>
      </c>
      <c r="B10" s="232"/>
      <c r="C10" s="232"/>
      <c r="D10" s="232"/>
      <c r="E10" s="232"/>
      <c r="F10" s="232"/>
      <c r="G10" s="232"/>
      <c r="H10" s="232"/>
      <c r="I10" s="233"/>
      <c r="J10" s="227"/>
      <c r="K10" s="227"/>
    </row>
    <row r="11" spans="1:11" s="178" customFormat="1" ht="30.75" customHeight="1">
      <c r="A11" s="743" t="s">
        <v>322</v>
      </c>
      <c r="B11" s="743"/>
      <c r="C11" s="743"/>
      <c r="D11" s="743"/>
      <c r="E11" s="743"/>
      <c r="F11" s="743"/>
      <c r="G11" s="743"/>
      <c r="H11" s="743"/>
      <c r="I11" s="743"/>
      <c r="J11" s="227"/>
      <c r="K11" s="227"/>
    </row>
    <row r="12" spans="1:11" s="178" customFormat="1" ht="21.75" customHeight="1">
      <c r="A12" s="743" t="s">
        <v>323</v>
      </c>
      <c r="B12" s="743"/>
      <c r="C12" s="743"/>
      <c r="D12" s="743"/>
      <c r="E12" s="743"/>
      <c r="F12" s="743"/>
      <c r="G12" s="743"/>
      <c r="H12" s="743"/>
      <c r="I12" s="743"/>
      <c r="J12" s="227"/>
      <c r="K12" s="227"/>
    </row>
    <row r="13" spans="1:11" s="178" customFormat="1" ht="18" customHeight="1">
      <c r="A13" s="743" t="s">
        <v>324</v>
      </c>
      <c r="B13" s="743"/>
      <c r="C13" s="743"/>
      <c r="D13" s="743"/>
      <c r="E13" s="743"/>
      <c r="F13" s="743"/>
      <c r="G13" s="743"/>
      <c r="H13" s="743"/>
      <c r="I13" s="743"/>
      <c r="J13" s="227"/>
      <c r="K13" s="227"/>
    </row>
    <row r="14" spans="1:11" s="178" customFormat="1" ht="14.25" customHeight="1">
      <c r="A14" s="743" t="s">
        <v>325</v>
      </c>
      <c r="B14" s="743"/>
      <c r="C14" s="743"/>
      <c r="D14" s="743"/>
      <c r="E14" s="743"/>
      <c r="F14" s="743"/>
      <c r="G14" s="743"/>
      <c r="H14" s="743"/>
      <c r="I14" s="743"/>
      <c r="J14" s="227"/>
      <c r="K14" s="227"/>
    </row>
    <row r="15" spans="1:11" s="178" customFormat="1" ht="18" customHeight="1">
      <c r="A15" s="743" t="s">
        <v>326</v>
      </c>
      <c r="B15" s="743"/>
      <c r="C15" s="743"/>
      <c r="D15" s="743"/>
      <c r="E15" s="743"/>
      <c r="F15" s="743"/>
      <c r="G15" s="743"/>
      <c r="H15" s="743"/>
      <c r="I15" s="743"/>
      <c r="J15" s="227"/>
      <c r="K15" s="227"/>
    </row>
    <row r="16" spans="1:11" s="178" customFormat="1" ht="18" customHeight="1">
      <c r="A16" s="234" t="s">
        <v>327</v>
      </c>
      <c r="I16" s="235"/>
      <c r="J16" s="227"/>
      <c r="K16" s="227"/>
    </row>
    <row r="17" spans="1:11" s="178" customFormat="1" ht="27.75" customHeight="1">
      <c r="A17" s="744" t="s">
        <v>328</v>
      </c>
      <c r="B17" s="744"/>
      <c r="C17" s="744"/>
      <c r="D17" s="744"/>
      <c r="E17" s="744"/>
      <c r="F17" s="744"/>
      <c r="G17" s="744"/>
      <c r="H17" s="744"/>
      <c r="I17" s="744"/>
      <c r="J17" s="227"/>
      <c r="K17" s="227"/>
    </row>
    <row r="18" spans="1:11" s="178" customFormat="1" ht="18" customHeight="1">
      <c r="A18" s="745" t="s">
        <v>329</v>
      </c>
      <c r="B18" s="745"/>
      <c r="C18" s="745"/>
      <c r="D18" s="745"/>
      <c r="E18" s="745"/>
      <c r="F18" s="745"/>
      <c r="G18" s="745"/>
      <c r="H18" s="745"/>
      <c r="I18" s="745"/>
      <c r="J18" s="227"/>
      <c r="K18" s="227"/>
    </row>
    <row r="19" spans="1:11" s="178" customFormat="1" ht="18" customHeight="1">
      <c r="A19" s="746" t="s">
        <v>330</v>
      </c>
      <c r="B19" s="746"/>
      <c r="C19" s="746"/>
      <c r="D19" s="746"/>
      <c r="E19" s="746"/>
      <c r="F19" s="746"/>
      <c r="G19" s="746"/>
      <c r="H19" s="746"/>
      <c r="I19" s="235"/>
      <c r="J19" s="227"/>
      <c r="K19" s="227"/>
    </row>
    <row r="20" spans="1:11" s="178" customFormat="1" ht="12.75" customHeight="1">
      <c r="A20" s="747" t="s">
        <v>331</v>
      </c>
      <c r="B20" s="747"/>
      <c r="C20" s="747"/>
      <c r="D20" s="747"/>
      <c r="E20" s="747"/>
      <c r="F20" s="747"/>
      <c r="G20" s="747"/>
      <c r="H20" s="747"/>
      <c r="I20" s="747"/>
      <c r="J20" s="227"/>
      <c r="K20" s="227"/>
    </row>
    <row r="21" spans="1:11" s="178" customFormat="1" ht="36.75" customHeight="1">
      <c r="A21" s="743" t="s">
        <v>332</v>
      </c>
      <c r="B21" s="743"/>
      <c r="C21" s="743"/>
      <c r="D21" s="743"/>
      <c r="E21" s="743"/>
      <c r="F21" s="743"/>
      <c r="G21" s="743"/>
      <c r="H21" s="743"/>
      <c r="I21" s="743"/>
      <c r="J21" s="227"/>
      <c r="K21" s="227"/>
    </row>
    <row r="22" spans="1:11" s="178" customFormat="1" ht="15" customHeight="1">
      <c r="A22" s="748" t="s">
        <v>333</v>
      </c>
      <c r="B22" s="748"/>
      <c r="C22" s="748"/>
      <c r="D22" s="748"/>
      <c r="E22" s="748"/>
      <c r="F22" s="748"/>
      <c r="G22" s="748"/>
      <c r="H22" s="748"/>
      <c r="I22" s="748"/>
      <c r="J22" s="236"/>
      <c r="K22" s="236"/>
    </row>
    <row r="23" spans="1:11" s="178" customFormat="1" ht="61" customHeight="1">
      <c r="A23" s="743" t="s">
        <v>334</v>
      </c>
      <c r="B23" s="743"/>
      <c r="C23" s="743"/>
      <c r="D23" s="743"/>
      <c r="E23" s="743"/>
      <c r="F23" s="743"/>
      <c r="G23" s="743"/>
      <c r="H23" s="743"/>
      <c r="I23" s="743"/>
      <c r="J23" s="227"/>
      <c r="K23" s="227"/>
    </row>
    <row r="24" spans="1:11" ht="21.75" customHeight="1">
      <c r="A24" s="237"/>
      <c r="B24" s="238"/>
      <c r="C24" s="238"/>
      <c r="D24" s="238"/>
      <c r="E24" s="238"/>
      <c r="F24" s="238"/>
      <c r="G24" s="238"/>
      <c r="H24" s="238"/>
      <c r="I24" s="239"/>
    </row>
    <row r="25" spans="1:11" ht="26.25" customHeight="1">
      <c r="A25" s="240"/>
      <c r="B25" s="241"/>
      <c r="C25" s="241">
        <f>IFERROR(IF(Indice!B8="","2XX2",YEAR(Indice!B8)),"2XX2")</f>
        <v>2025</v>
      </c>
      <c r="D25" s="241"/>
      <c r="E25" s="162"/>
      <c r="F25" s="241"/>
      <c r="G25" s="241">
        <f>IFERROR(YEAR(Indice!B8-365),"2XX1")</f>
        <v>2024</v>
      </c>
      <c r="H25" s="241"/>
      <c r="I25" s="242"/>
      <c r="J25" s="243"/>
      <c r="K25" s="243"/>
    </row>
    <row r="26" spans="1:11" ht="33" customHeight="1">
      <c r="A26" s="240"/>
      <c r="B26" s="244" t="s">
        <v>335</v>
      </c>
      <c r="C26" s="245" t="s">
        <v>336</v>
      </c>
      <c r="D26" s="246" t="s">
        <v>337</v>
      </c>
      <c r="F26" s="244" t="s">
        <v>335</v>
      </c>
      <c r="G26" s="245" t="s">
        <v>336</v>
      </c>
      <c r="H26" s="246" t="s">
        <v>337</v>
      </c>
      <c r="I26" s="247"/>
    </row>
    <row r="27" spans="1:11" ht="21.75" customHeight="1">
      <c r="A27" s="248" t="s">
        <v>338</v>
      </c>
      <c r="B27" s="249" t="s">
        <v>339</v>
      </c>
      <c r="C27" s="250" t="s">
        <v>340</v>
      </c>
      <c r="D27" s="57">
        <v>470376457437</v>
      </c>
      <c r="E27" s="143"/>
      <c r="F27" s="143" t="s">
        <v>339</v>
      </c>
      <c r="G27" s="250" t="s">
        <v>340</v>
      </c>
      <c r="H27" s="251">
        <v>453948166593</v>
      </c>
      <c r="I27" s="242"/>
      <c r="J27" s="243"/>
      <c r="K27" s="243"/>
    </row>
    <row r="28" spans="1:11" ht="21.75" customHeight="1">
      <c r="A28" s="248"/>
      <c r="B28" s="249"/>
      <c r="C28" s="250"/>
      <c r="D28" s="57"/>
      <c r="E28" s="143"/>
      <c r="F28" s="143"/>
      <c r="G28" s="250"/>
      <c r="H28" s="143"/>
      <c r="I28" s="242"/>
      <c r="J28" s="243"/>
      <c r="K28" s="243"/>
    </row>
    <row r="29" spans="1:11" ht="21.75" customHeight="1">
      <c r="A29" s="248" t="s">
        <v>341</v>
      </c>
      <c r="B29" s="250" t="s">
        <v>339</v>
      </c>
      <c r="C29" s="250" t="s">
        <v>340</v>
      </c>
      <c r="D29" s="251">
        <v>426403212384</v>
      </c>
      <c r="E29" s="143"/>
      <c r="F29" s="143" t="s">
        <v>339</v>
      </c>
      <c r="G29" s="250" t="s">
        <v>340</v>
      </c>
      <c r="H29" s="251">
        <v>496666968018</v>
      </c>
      <c r="I29" s="242"/>
      <c r="J29" s="243"/>
      <c r="K29" s="243"/>
    </row>
    <row r="30" spans="1:11" ht="37.5" customHeight="1">
      <c r="A30" s="248"/>
      <c r="B30" s="252"/>
      <c r="C30" s="252"/>
      <c r="D30" s="700"/>
      <c r="F30" s="254"/>
      <c r="G30" s="252"/>
      <c r="H30" s="253"/>
      <c r="I30" s="242"/>
      <c r="J30" s="243"/>
      <c r="K30" s="243"/>
    </row>
    <row r="31" spans="1:11" ht="23.25" customHeight="1">
      <c r="A31" s="255" t="s">
        <v>342</v>
      </c>
      <c r="B31" s="256"/>
      <c r="C31" s="256"/>
      <c r="D31" s="257">
        <f>D27-D29</f>
        <v>43973245053</v>
      </c>
      <c r="E31" s="226"/>
      <c r="F31" s="174"/>
      <c r="G31" s="174"/>
      <c r="H31" s="257">
        <f>H27-H29</f>
        <v>-42718801425</v>
      </c>
      <c r="I31" s="242"/>
      <c r="J31" s="243"/>
      <c r="K31" s="243"/>
    </row>
    <row r="32" spans="1:11" ht="22.5" customHeight="1">
      <c r="A32" s="240"/>
      <c r="B32" s="162"/>
      <c r="C32" s="162"/>
      <c r="D32" s="162"/>
      <c r="E32" s="162"/>
      <c r="F32" s="258"/>
      <c r="G32" s="162"/>
      <c r="H32" s="162"/>
      <c r="I32" s="242"/>
      <c r="J32" s="243"/>
      <c r="K32" s="243"/>
    </row>
    <row r="33" spans="1:11" ht="39" customHeight="1">
      <c r="A33" s="240"/>
      <c r="B33" s="241"/>
      <c r="C33" s="241">
        <f>C25</f>
        <v>2025</v>
      </c>
      <c r="D33" s="241"/>
      <c r="E33" s="162"/>
      <c r="F33" s="241"/>
      <c r="G33" s="241">
        <f>IFERROR(YEAR(Indice!B8-365),"2XX1")</f>
        <v>2024</v>
      </c>
      <c r="H33" s="241"/>
      <c r="I33" s="242"/>
      <c r="J33" s="243"/>
      <c r="K33" s="243"/>
    </row>
    <row r="34" spans="1:11" ht="25.5" customHeight="1">
      <c r="A34" s="248"/>
      <c r="B34" s="259" t="s">
        <v>335</v>
      </c>
      <c r="C34" s="246" t="s">
        <v>336</v>
      </c>
      <c r="D34" s="246" t="s">
        <v>337</v>
      </c>
      <c r="F34" s="259" t="s">
        <v>335</v>
      </c>
      <c r="G34" s="246" t="s">
        <v>336</v>
      </c>
      <c r="H34" s="246" t="s">
        <v>337</v>
      </c>
      <c r="I34" s="247"/>
      <c r="J34" s="260"/>
      <c r="K34" s="261"/>
    </row>
    <row r="35" spans="1:11" ht="24.75" customHeight="1">
      <c r="A35" s="248" t="s">
        <v>338</v>
      </c>
      <c r="B35" s="250" t="s">
        <v>343</v>
      </c>
      <c r="C35" s="262" t="s">
        <v>344</v>
      </c>
      <c r="D35" s="57">
        <v>39743898</v>
      </c>
      <c r="E35" s="143"/>
      <c r="F35" s="250" t="s">
        <v>343</v>
      </c>
      <c r="G35" s="262" t="s">
        <v>344</v>
      </c>
      <c r="H35" s="251">
        <v>3765814894</v>
      </c>
      <c r="I35" s="247"/>
      <c r="J35" s="263">
        <f>814031506-D35</f>
        <v>774287608</v>
      </c>
      <c r="K35" s="264">
        <f>115929510+9809256281-H35</f>
        <v>6159370897</v>
      </c>
    </row>
    <row r="36" spans="1:11">
      <c r="A36" s="24"/>
      <c r="I36" s="247"/>
    </row>
    <row r="37" spans="1:11" ht="25.5" customHeight="1">
      <c r="A37" s="248" t="s">
        <v>341</v>
      </c>
      <c r="B37" s="250" t="s">
        <v>343</v>
      </c>
      <c r="C37" s="262" t="s">
        <v>344</v>
      </c>
      <c r="D37" s="57">
        <v>0</v>
      </c>
      <c r="E37" s="143"/>
      <c r="F37" s="250" t="s">
        <v>343</v>
      </c>
      <c r="G37" s="262" t="s">
        <v>344</v>
      </c>
      <c r="H37" s="251">
        <v>6163635</v>
      </c>
      <c r="I37" s="247"/>
      <c r="J37" s="263">
        <f>11507625445-D37</f>
        <v>11507625445</v>
      </c>
      <c r="K37" s="264">
        <f>6036113113+10529592042-H37</f>
        <v>16559541520</v>
      </c>
    </row>
    <row r="38" spans="1:11" ht="21.75" customHeight="1">
      <c r="A38" s="248"/>
      <c r="B38" s="252"/>
      <c r="C38" s="252"/>
      <c r="D38" s="253"/>
      <c r="F38" s="252"/>
      <c r="G38" s="252"/>
      <c r="H38" s="253"/>
      <c r="I38" s="247"/>
      <c r="J38" s="260"/>
      <c r="K38" s="261"/>
    </row>
    <row r="39" spans="1:11" ht="21.75" customHeight="1">
      <c r="A39" s="255" t="s">
        <v>342</v>
      </c>
      <c r="B39" s="256"/>
      <c r="C39" s="256"/>
      <c r="D39" s="257">
        <f>D35-D37</f>
        <v>39743898</v>
      </c>
      <c r="E39" s="226"/>
      <c r="F39" s="174"/>
      <c r="G39" s="174"/>
      <c r="H39" s="257">
        <f>H35-H37</f>
        <v>3759651259</v>
      </c>
      <c r="I39" s="247"/>
      <c r="J39" s="260"/>
      <c r="K39" s="261"/>
    </row>
    <row r="40" spans="1:11" ht="21.75" customHeight="1">
      <c r="A40" s="240"/>
      <c r="B40" s="162"/>
      <c r="C40" s="162"/>
      <c r="D40" s="162"/>
      <c r="E40" s="162"/>
      <c r="F40" s="258"/>
      <c r="G40" s="162"/>
      <c r="H40" s="162"/>
      <c r="I40" s="242"/>
      <c r="J40" s="243"/>
      <c r="K40" s="243"/>
    </row>
    <row r="41" spans="1:11" ht="35.25" customHeight="1">
      <c r="A41" s="240"/>
      <c r="B41" s="241"/>
      <c r="C41" s="241">
        <f>C25</f>
        <v>2025</v>
      </c>
      <c r="D41" s="241"/>
      <c r="E41" s="143"/>
      <c r="F41" s="241"/>
      <c r="G41" s="241">
        <f>IFERROR(YEAR(Indice!B8-365),"2XX1")</f>
        <v>2024</v>
      </c>
      <c r="H41" s="241"/>
      <c r="I41" s="242"/>
      <c r="J41" s="243"/>
      <c r="K41" s="243"/>
    </row>
    <row r="42" spans="1:11" ht="33.75" customHeight="1">
      <c r="A42" s="240"/>
      <c r="B42" s="259" t="s">
        <v>335</v>
      </c>
      <c r="C42" s="246" t="s">
        <v>336</v>
      </c>
      <c r="D42" s="246" t="s">
        <v>345</v>
      </c>
      <c r="F42" s="259" t="s">
        <v>335</v>
      </c>
      <c r="G42" s="246" t="s">
        <v>336</v>
      </c>
      <c r="H42" s="246" t="s">
        <v>346</v>
      </c>
      <c r="I42" s="242"/>
      <c r="J42" s="243"/>
      <c r="K42" s="243"/>
    </row>
    <row r="43" spans="1:11" ht="21.75" customHeight="1">
      <c r="A43" s="265" t="s">
        <v>347</v>
      </c>
      <c r="B43" s="250" t="s">
        <v>343</v>
      </c>
      <c r="C43" s="262" t="s">
        <v>344</v>
      </c>
      <c r="D43" s="251">
        <v>8611</v>
      </c>
      <c r="E43" s="143"/>
      <c r="F43" s="250" t="s">
        <v>343</v>
      </c>
      <c r="G43" s="262" t="s">
        <v>344</v>
      </c>
      <c r="H43" s="266">
        <v>8125</v>
      </c>
      <c r="I43" s="267"/>
      <c r="J43" s="243">
        <f>(D43-H43)/100</f>
        <v>4.8600000000000003</v>
      </c>
      <c r="K43" s="243"/>
    </row>
    <row r="44" spans="1:11" ht="21.75" customHeight="1">
      <c r="A44" s="265"/>
      <c r="B44" s="250"/>
      <c r="C44" s="262"/>
      <c r="D44" s="251"/>
      <c r="E44" s="143"/>
      <c r="F44" s="250"/>
      <c r="G44" s="262"/>
      <c r="H44" s="266"/>
      <c r="I44" s="267"/>
      <c r="J44" s="243"/>
      <c r="K44" s="243"/>
    </row>
    <row r="45" spans="1:11" ht="21.75" customHeight="1">
      <c r="A45" s="268" t="s">
        <v>348</v>
      </c>
      <c r="B45" s="250" t="s">
        <v>343</v>
      </c>
      <c r="C45" s="262" t="s">
        <v>344</v>
      </c>
      <c r="D45" s="251">
        <v>8623</v>
      </c>
      <c r="E45" s="143"/>
      <c r="F45" s="250" t="s">
        <v>343</v>
      </c>
      <c r="G45" s="262" t="s">
        <v>344</v>
      </c>
      <c r="H45" s="266">
        <v>8159</v>
      </c>
      <c r="I45" s="267"/>
      <c r="J45" s="243">
        <f>(D45-H45)/100</f>
        <v>4.6399999999999997</v>
      </c>
      <c r="K45" s="243"/>
    </row>
    <row r="46" spans="1:11" ht="12.5" customHeight="1">
      <c r="A46" s="24"/>
      <c r="B46" s="252"/>
      <c r="C46" s="252"/>
      <c r="D46" s="253"/>
      <c r="F46" s="252"/>
      <c r="G46" s="252"/>
      <c r="H46" s="253"/>
      <c r="I46" s="267"/>
      <c r="J46" s="243"/>
      <c r="K46" s="243"/>
    </row>
    <row r="47" spans="1:11" ht="21.75" customHeight="1">
      <c r="A47" s="255" t="s">
        <v>342</v>
      </c>
      <c r="B47" s="256"/>
      <c r="C47" s="256"/>
      <c r="D47" s="257">
        <f>D43-D45</f>
        <v>-12</v>
      </c>
      <c r="E47" s="226"/>
      <c r="F47" s="129"/>
      <c r="G47" s="129"/>
      <c r="H47" s="257">
        <f>H43-H45</f>
        <v>-34</v>
      </c>
      <c r="I47" s="267"/>
      <c r="J47" s="243"/>
      <c r="K47" s="243"/>
    </row>
    <row r="48" spans="1:11" ht="16.5" customHeight="1">
      <c r="A48" s="255"/>
      <c r="B48" s="256"/>
      <c r="C48" s="256"/>
      <c r="D48" s="802"/>
      <c r="E48" s="226"/>
      <c r="F48" s="129"/>
      <c r="G48" s="129"/>
      <c r="H48" s="802"/>
      <c r="I48" s="267"/>
      <c r="J48" s="243"/>
      <c r="K48" s="243"/>
    </row>
    <row r="49" spans="1:11" ht="15" customHeight="1">
      <c r="A49" s="265" t="s">
        <v>347</v>
      </c>
      <c r="B49" s="250" t="s">
        <v>339</v>
      </c>
      <c r="C49" s="250" t="s">
        <v>340</v>
      </c>
      <c r="D49" s="251">
        <v>7974</v>
      </c>
      <c r="E49" s="143"/>
      <c r="F49" s="249" t="s">
        <v>339</v>
      </c>
      <c r="G49" s="250" t="s">
        <v>340</v>
      </c>
      <c r="H49" s="266">
        <v>7812</v>
      </c>
      <c r="I49" s="267"/>
      <c r="J49" s="243">
        <f>(D49-H49)/100</f>
        <v>1.62</v>
      </c>
      <c r="K49" s="243"/>
    </row>
    <row r="50" spans="1:11" ht="15" customHeight="1">
      <c r="A50" s="265"/>
      <c r="B50" s="250"/>
      <c r="C50" s="250"/>
      <c r="D50" s="251"/>
      <c r="E50" s="143"/>
      <c r="F50" s="249"/>
      <c r="G50" s="250"/>
      <c r="H50" s="266"/>
      <c r="I50" s="267"/>
      <c r="J50" s="243"/>
      <c r="K50" s="243"/>
    </row>
    <row r="51" spans="1:11" ht="15" customHeight="1">
      <c r="A51" s="268" t="s">
        <v>348</v>
      </c>
      <c r="B51" s="250" t="s">
        <v>339</v>
      </c>
      <c r="C51" s="250" t="s">
        <v>340</v>
      </c>
      <c r="D51" s="251">
        <v>7984</v>
      </c>
      <c r="E51" s="143"/>
      <c r="F51" s="249" t="s">
        <v>339</v>
      </c>
      <c r="G51" s="250" t="s">
        <v>340</v>
      </c>
      <c r="H51" s="266">
        <v>7843</v>
      </c>
      <c r="I51" s="267"/>
      <c r="J51" s="243">
        <f>(D51-H51)/100</f>
        <v>1.41</v>
      </c>
      <c r="K51" s="243"/>
    </row>
    <row r="52" spans="1:11" ht="15" customHeight="1">
      <c r="A52" s="24"/>
      <c r="B52" s="252"/>
      <c r="C52" s="252"/>
      <c r="D52" s="253"/>
      <c r="F52" s="252"/>
      <c r="G52" s="252"/>
      <c r="H52" s="253"/>
      <c r="I52" s="267"/>
      <c r="J52" s="243"/>
      <c r="K52" s="243"/>
    </row>
    <row r="53" spans="1:11" ht="15" customHeight="1">
      <c r="A53" s="255" t="s">
        <v>342</v>
      </c>
      <c r="B53" s="256"/>
      <c r="C53" s="256"/>
      <c r="D53" s="257">
        <f>D49-D51</f>
        <v>-10</v>
      </c>
      <c r="E53" s="226"/>
      <c r="F53" s="129"/>
      <c r="G53" s="129"/>
      <c r="H53" s="257">
        <f>H49-H51</f>
        <v>-31</v>
      </c>
      <c r="I53" s="269"/>
      <c r="J53" s="243">
        <f>SUM(J43:J52)</f>
        <v>12.530000000000001</v>
      </c>
      <c r="K53" s="243"/>
    </row>
    <row r="54" spans="1:11">
      <c r="A54" s="24"/>
      <c r="I54" s="247"/>
      <c r="J54" s="270"/>
      <c r="K54" s="270"/>
    </row>
    <row r="55" spans="1:11" s="5" customFormat="1" ht="37.5" customHeight="1">
      <c r="A55" s="749" t="s">
        <v>349</v>
      </c>
      <c r="B55" s="749"/>
      <c r="C55" s="749"/>
      <c r="D55" s="749"/>
      <c r="E55" s="749"/>
      <c r="F55" s="749"/>
      <c r="G55" s="749"/>
      <c r="H55" s="749"/>
      <c r="I55" s="749"/>
      <c r="J55" s="271"/>
      <c r="K55" s="243"/>
    </row>
    <row r="56" spans="1:11" s="5" customFormat="1" ht="15" customHeight="1">
      <c r="A56" s="750" t="s">
        <v>350</v>
      </c>
      <c r="B56" s="750"/>
      <c r="C56" s="750"/>
      <c r="D56" s="750"/>
      <c r="E56" s="750"/>
      <c r="F56" s="750"/>
      <c r="G56" s="750"/>
      <c r="H56" s="750"/>
      <c r="I56" s="750"/>
      <c r="J56" s="272"/>
      <c r="K56" s="272"/>
    </row>
    <row r="57" spans="1:11" s="5" customFormat="1" ht="24" customHeight="1">
      <c r="A57" s="741" t="s">
        <v>351</v>
      </c>
      <c r="B57" s="741"/>
      <c r="C57" s="741"/>
      <c r="D57" s="741"/>
      <c r="E57" s="741"/>
      <c r="F57" s="741"/>
      <c r="G57" s="741"/>
      <c r="H57" s="741"/>
      <c r="I57" s="741"/>
      <c r="J57" s="148"/>
      <c r="K57" s="148"/>
    </row>
    <row r="58" spans="1:11" s="5" customFormat="1" ht="12.75" customHeight="1">
      <c r="A58" s="740" t="s">
        <v>352</v>
      </c>
      <c r="B58" s="740"/>
      <c r="C58" s="740"/>
      <c r="D58" s="740"/>
      <c r="E58" s="740"/>
      <c r="F58" s="740"/>
      <c r="G58" s="740"/>
      <c r="H58" s="740"/>
      <c r="I58" s="740"/>
      <c r="J58" s="272"/>
      <c r="K58" s="272"/>
    </row>
    <row r="59" spans="1:11" s="5" customFormat="1" ht="16.5" customHeight="1">
      <c r="A59" s="741" t="s">
        <v>353</v>
      </c>
      <c r="B59" s="741"/>
      <c r="C59" s="741"/>
      <c r="D59" s="741"/>
      <c r="E59" s="741"/>
      <c r="F59" s="741"/>
      <c r="G59" s="741"/>
      <c r="H59" s="741"/>
      <c r="I59" s="741"/>
      <c r="J59" s="272"/>
      <c r="K59" s="272"/>
    </row>
    <row r="60" spans="1:11" s="5" customFormat="1" ht="16.5" customHeight="1">
      <c r="A60" s="751" t="s">
        <v>354</v>
      </c>
      <c r="B60" s="751"/>
      <c r="C60" s="751"/>
      <c r="D60" s="751"/>
      <c r="E60" s="751"/>
      <c r="F60" s="751"/>
      <c r="G60" s="751"/>
      <c r="H60" s="751"/>
      <c r="I60" s="273"/>
      <c r="J60" s="272"/>
      <c r="K60" s="272"/>
    </row>
    <row r="61" spans="1:11" s="5" customFormat="1" ht="16.5" customHeight="1">
      <c r="A61" s="752" t="s">
        <v>355</v>
      </c>
      <c r="B61" s="752"/>
      <c r="C61" s="752"/>
      <c r="D61" s="752"/>
      <c r="E61" s="752"/>
      <c r="F61" s="752"/>
      <c r="G61" s="752"/>
      <c r="H61" s="752"/>
      <c r="I61" s="273"/>
      <c r="J61" s="272"/>
      <c r="K61" s="272"/>
    </row>
    <row r="62" spans="1:11" s="178" customFormat="1" ht="13.5" customHeight="1">
      <c r="A62" s="741" t="s">
        <v>356</v>
      </c>
      <c r="B62" s="741"/>
      <c r="C62" s="741"/>
      <c r="D62" s="741"/>
      <c r="E62" s="741"/>
      <c r="F62" s="741"/>
      <c r="G62" s="741"/>
      <c r="H62" s="741"/>
      <c r="I62" s="741"/>
      <c r="J62" s="236"/>
      <c r="K62" s="236"/>
    </row>
    <row r="63" spans="1:11" s="178" customFormat="1" ht="14.25" customHeight="1">
      <c r="A63" s="753" t="s">
        <v>357</v>
      </c>
      <c r="B63" s="753"/>
      <c r="C63" s="753"/>
      <c r="D63" s="753"/>
      <c r="E63" s="753"/>
      <c r="F63" s="753"/>
      <c r="G63" s="753"/>
      <c r="H63" s="753"/>
      <c r="I63" s="273"/>
      <c r="J63" s="236"/>
      <c r="K63" s="236"/>
    </row>
    <row r="64" spans="1:11" s="178" customFormat="1" ht="15.75" customHeight="1">
      <c r="A64" s="748" t="s">
        <v>358</v>
      </c>
      <c r="B64" s="748"/>
      <c r="C64" s="748"/>
      <c r="D64" s="748"/>
      <c r="E64" s="748"/>
      <c r="F64" s="748"/>
      <c r="G64" s="748"/>
      <c r="H64" s="748"/>
      <c r="I64" s="748"/>
      <c r="J64" s="236"/>
      <c r="K64" s="236"/>
    </row>
    <row r="65" spans="1:12" s="178" customFormat="1" ht="15.75" customHeight="1">
      <c r="A65" s="274" t="s">
        <v>359</v>
      </c>
      <c r="B65" s="274"/>
      <c r="C65" s="274"/>
      <c r="D65" s="274"/>
      <c r="E65" s="274"/>
      <c r="F65" s="274"/>
      <c r="G65" s="274"/>
      <c r="H65" s="274"/>
      <c r="I65" s="275"/>
      <c r="J65" s="236"/>
      <c r="K65" s="236"/>
    </row>
    <row r="66" spans="1:12" s="178" customFormat="1" ht="14.25" customHeight="1">
      <c r="A66" s="744" t="s">
        <v>360</v>
      </c>
      <c r="B66" s="744"/>
      <c r="C66" s="744"/>
      <c r="D66" s="744"/>
      <c r="E66" s="744"/>
      <c r="F66" s="744"/>
      <c r="G66" s="744"/>
      <c r="H66" s="744"/>
      <c r="I66" s="744"/>
      <c r="J66" s="227"/>
      <c r="K66" s="227"/>
    </row>
    <row r="67" spans="1:12" s="178" customFormat="1" ht="29.25" customHeight="1">
      <c r="A67" s="751" t="s">
        <v>361</v>
      </c>
      <c r="B67" s="751"/>
      <c r="C67" s="751"/>
      <c r="D67" s="751"/>
      <c r="E67" s="751"/>
      <c r="F67" s="751"/>
      <c r="G67" s="751"/>
      <c r="H67" s="751"/>
      <c r="I67" s="276"/>
      <c r="J67" s="227"/>
      <c r="K67" s="227"/>
    </row>
    <row r="68" spans="1:12" s="178" customFormat="1" ht="14.25" customHeight="1">
      <c r="A68" s="748" t="s">
        <v>362</v>
      </c>
      <c r="B68" s="748"/>
      <c r="C68" s="748"/>
      <c r="D68" s="748"/>
      <c r="E68" s="748"/>
      <c r="F68" s="748"/>
      <c r="G68" s="748"/>
      <c r="H68" s="748"/>
      <c r="I68" s="748"/>
      <c r="J68" s="227"/>
      <c r="K68" s="227"/>
      <c r="L68" s="277"/>
    </row>
    <row r="69" spans="1:12" s="178" customFormat="1" ht="29.25" customHeight="1">
      <c r="A69" s="754" t="s">
        <v>363</v>
      </c>
      <c r="B69" s="754"/>
      <c r="C69" s="754"/>
      <c r="D69" s="754"/>
      <c r="E69" s="754"/>
      <c r="F69" s="754"/>
      <c r="G69" s="754"/>
      <c r="H69" s="754"/>
      <c r="I69" s="754"/>
      <c r="J69" s="227"/>
      <c r="K69" s="227"/>
    </row>
    <row r="70" spans="1:12" s="178" customFormat="1" ht="14.25" customHeight="1">
      <c r="A70" s="748" t="s">
        <v>364</v>
      </c>
      <c r="B70" s="748"/>
      <c r="C70" s="748"/>
      <c r="D70" s="748"/>
      <c r="E70" s="748"/>
      <c r="F70" s="748"/>
      <c r="G70" s="748"/>
      <c r="H70" s="748"/>
      <c r="I70" s="748"/>
      <c r="J70" s="755"/>
      <c r="K70" s="755"/>
    </row>
    <row r="71" spans="1:12" s="178" customFormat="1" ht="14.25" customHeight="1">
      <c r="A71" s="278" t="s">
        <v>365</v>
      </c>
      <c r="B71" s="279"/>
      <c r="C71" s="279"/>
      <c r="D71" s="279"/>
      <c r="E71" s="279"/>
      <c r="F71" s="279"/>
      <c r="G71" s="279"/>
      <c r="H71" s="279"/>
      <c r="I71" s="280"/>
      <c r="J71" s="281"/>
      <c r="K71" s="281"/>
    </row>
    <row r="72" spans="1:12" s="178" customFormat="1" ht="16.5" customHeight="1">
      <c r="A72" s="756" t="s">
        <v>366</v>
      </c>
      <c r="B72" s="756"/>
      <c r="C72" s="756"/>
      <c r="D72" s="756"/>
      <c r="E72" s="756"/>
      <c r="F72" s="756"/>
      <c r="G72" s="756"/>
      <c r="H72" s="756"/>
      <c r="I72" s="756"/>
      <c r="J72" s="755"/>
      <c r="K72" s="755"/>
    </row>
    <row r="73" spans="1:12" s="178" customFormat="1" ht="16.5" customHeight="1">
      <c r="A73" s="757" t="s">
        <v>367</v>
      </c>
      <c r="B73" s="757"/>
      <c r="C73" s="757"/>
      <c r="D73" s="757"/>
      <c r="E73" s="757"/>
      <c r="F73" s="757"/>
      <c r="G73" s="757"/>
      <c r="H73" s="757"/>
      <c r="I73" s="757"/>
      <c r="J73" s="281"/>
      <c r="K73" s="281"/>
    </row>
    <row r="74" spans="1:12" s="178" customFormat="1" ht="43.5" customHeight="1">
      <c r="A74" s="741" t="s">
        <v>368</v>
      </c>
      <c r="B74" s="741"/>
      <c r="C74" s="741"/>
      <c r="D74" s="741"/>
      <c r="E74" s="741"/>
      <c r="F74" s="741"/>
      <c r="G74" s="741"/>
      <c r="H74" s="741"/>
      <c r="I74" s="741"/>
      <c r="J74" s="281"/>
      <c r="K74" s="281"/>
    </row>
    <row r="75" spans="1:12" s="178" customFormat="1" ht="14.25" customHeight="1">
      <c r="A75" s="758" t="s">
        <v>369</v>
      </c>
      <c r="B75" s="758"/>
      <c r="C75" s="758"/>
      <c r="D75" s="758"/>
      <c r="E75" s="758"/>
      <c r="F75" s="238"/>
      <c r="G75" s="238"/>
      <c r="H75" s="238"/>
      <c r="I75" s="239"/>
      <c r="J75" s="281"/>
      <c r="K75" s="281"/>
    </row>
    <row r="76" spans="1:12" s="178" customFormat="1" ht="37.5" customHeight="1">
      <c r="A76" s="741" t="s">
        <v>370</v>
      </c>
      <c r="B76" s="741"/>
      <c r="C76" s="741"/>
      <c r="D76" s="741"/>
      <c r="E76" s="741"/>
      <c r="F76" s="741"/>
      <c r="G76" s="741"/>
      <c r="H76" s="741"/>
      <c r="I76" s="741"/>
      <c r="J76" s="281"/>
      <c r="K76" s="281"/>
    </row>
    <row r="77" spans="1:12" s="178" customFormat="1" ht="9.75" customHeight="1">
      <c r="A77" s="759"/>
      <c r="B77" s="759"/>
      <c r="C77" s="759"/>
      <c r="D77" s="759"/>
      <c r="E77" s="759"/>
      <c r="F77" s="759"/>
      <c r="G77" s="759"/>
      <c r="H77" s="759"/>
      <c r="I77" s="759"/>
      <c r="J77" s="282"/>
      <c r="K77" s="227"/>
    </row>
    <row r="78" spans="1:12" s="283" customFormat="1" ht="15" customHeight="1">
      <c r="A78" s="747" t="s">
        <v>371</v>
      </c>
      <c r="B78" s="747"/>
      <c r="C78" s="747"/>
      <c r="D78" s="747"/>
      <c r="E78" s="747"/>
      <c r="F78" s="747"/>
      <c r="G78" s="747"/>
      <c r="H78" s="747"/>
      <c r="I78" s="747"/>
      <c r="J78" s="281"/>
      <c r="K78" s="281"/>
    </row>
    <row r="79" spans="1:12" s="283" customFormat="1" ht="15" customHeight="1">
      <c r="A79" s="761" t="s">
        <v>372</v>
      </c>
      <c r="B79" s="761"/>
      <c r="C79" s="761"/>
      <c r="D79" s="761"/>
      <c r="E79" s="761"/>
      <c r="F79" s="761"/>
      <c r="G79" s="761"/>
      <c r="H79" s="761"/>
      <c r="I79" s="761"/>
      <c r="J79" s="281"/>
      <c r="K79" s="281"/>
    </row>
    <row r="80" spans="1:12" s="178" customFormat="1" ht="33" customHeight="1">
      <c r="A80" s="762" t="s">
        <v>373</v>
      </c>
      <c r="B80" s="762"/>
      <c r="C80" s="762"/>
      <c r="D80" s="762"/>
      <c r="E80" s="762"/>
      <c r="F80" s="762"/>
      <c r="G80" s="762"/>
      <c r="H80" s="762"/>
      <c r="I80" s="762"/>
      <c r="J80" s="281"/>
      <c r="K80" s="281"/>
    </row>
    <row r="81" spans="1:11" s="178" customFormat="1" ht="27.75" customHeight="1">
      <c r="A81" s="763" t="s">
        <v>374</v>
      </c>
      <c r="B81" s="763"/>
      <c r="C81" s="763"/>
      <c r="D81" s="763"/>
      <c r="E81" s="763"/>
      <c r="F81" s="763"/>
      <c r="G81" s="763"/>
      <c r="H81" s="763"/>
      <c r="I81" s="763"/>
      <c r="J81" s="281"/>
      <c r="K81" s="281"/>
    </row>
    <row r="82" spans="1:11" s="178" customFormat="1" ht="28.5" customHeight="1">
      <c r="A82" s="763" t="s">
        <v>375</v>
      </c>
      <c r="B82" s="763"/>
      <c r="C82" s="763"/>
      <c r="D82" s="763"/>
      <c r="E82" s="763"/>
      <c r="F82" s="763"/>
      <c r="G82" s="763"/>
      <c r="H82" s="763"/>
      <c r="I82" s="763"/>
      <c r="J82" s="281"/>
      <c r="K82" s="281"/>
    </row>
    <row r="83" spans="1:11" s="285" customFormat="1" ht="10.5" customHeight="1">
      <c r="A83" s="760"/>
      <c r="B83" s="760"/>
      <c r="C83" s="760"/>
      <c r="D83" s="760"/>
      <c r="E83" s="760"/>
      <c r="F83" s="760"/>
      <c r="G83" s="760"/>
      <c r="H83" s="760"/>
      <c r="I83" s="760"/>
      <c r="J83" s="284"/>
      <c r="K83" s="284"/>
    </row>
  </sheetData>
  <mergeCells count="46">
    <mergeCell ref="A83:I83"/>
    <mergeCell ref="A78:I78"/>
    <mergeCell ref="A79:I79"/>
    <mergeCell ref="A80:I80"/>
    <mergeCell ref="A81:I81"/>
    <mergeCell ref="A82:I82"/>
    <mergeCell ref="A73:I73"/>
    <mergeCell ref="A74:I74"/>
    <mergeCell ref="A75:E75"/>
    <mergeCell ref="A76:I76"/>
    <mergeCell ref="A77:I77"/>
    <mergeCell ref="A69:I69"/>
    <mergeCell ref="A70:I70"/>
    <mergeCell ref="J70:K70"/>
    <mergeCell ref="A72:I72"/>
    <mergeCell ref="J72:K72"/>
    <mergeCell ref="A63:H63"/>
    <mergeCell ref="A64:I64"/>
    <mergeCell ref="A66:I66"/>
    <mergeCell ref="A67:H67"/>
    <mergeCell ref="A68:I68"/>
    <mergeCell ref="A58:I58"/>
    <mergeCell ref="A59:I59"/>
    <mergeCell ref="A60:H60"/>
    <mergeCell ref="A61:H61"/>
    <mergeCell ref="A62:I62"/>
    <mergeCell ref="A22:I22"/>
    <mergeCell ref="A23:I23"/>
    <mergeCell ref="A55:I55"/>
    <mergeCell ref="A56:I56"/>
    <mergeCell ref="A57:I57"/>
    <mergeCell ref="A17:I17"/>
    <mergeCell ref="A18:I18"/>
    <mergeCell ref="A19:H19"/>
    <mergeCell ref="A20:I20"/>
    <mergeCell ref="A21:I21"/>
    <mergeCell ref="A11:I11"/>
    <mergeCell ref="A12:I12"/>
    <mergeCell ref="A13:I13"/>
    <mergeCell ref="A14:I14"/>
    <mergeCell ref="A15:I15"/>
    <mergeCell ref="A4:I4"/>
    <mergeCell ref="A5:I5"/>
    <mergeCell ref="A6:I6"/>
    <mergeCell ref="A7:I7"/>
    <mergeCell ref="A9:I9"/>
  </mergeCells>
  <hyperlinks>
    <hyperlink ref="I2" location="BG!A1" display="BG" xr:uid="{00000000-0004-0000-0700-000000000000}"/>
  </hyperlinks>
  <pageMargins left="0.70833333333333304" right="0.70833333333333304" top="0.74791666666666701" bottom="0.74791666666666701" header="0.511811023622047" footer="0.511811023622047"/>
  <pageSetup paperSize="5" scale="8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17"/>
  <sheetViews>
    <sheetView showGridLines="0" topLeftCell="A3" zoomScaleNormal="100" workbookViewId="0">
      <selection activeCell="F18" sqref="F18"/>
    </sheetView>
  </sheetViews>
  <sheetFormatPr baseColWidth="10" defaultColWidth="11.453125" defaultRowHeight="14.5"/>
  <cols>
    <col min="1" max="1" width="45.453125" style="5" customWidth="1"/>
    <col min="2" max="2" width="5.81640625" style="5" customWidth="1"/>
    <col min="3" max="3" width="21.08984375" style="5" customWidth="1"/>
    <col min="4" max="4" width="16.54296875" style="5" customWidth="1"/>
    <col min="5" max="1024" width="11.453125" style="5"/>
  </cols>
  <sheetData>
    <row r="1" spans="1:5" ht="25">
      <c r="A1" s="144" t="str">
        <f>Indice!C1</f>
        <v>KUROSU &amp; CIA. S.A.</v>
      </c>
      <c r="E1" s="211" t="s">
        <v>23</v>
      </c>
    </row>
    <row r="2" spans="1:5">
      <c r="E2" s="211"/>
    </row>
    <row r="3" spans="1:5">
      <c r="A3" s="5" t="s">
        <v>376</v>
      </c>
    </row>
    <row r="5" spans="1:5">
      <c r="A5" s="286" t="s">
        <v>377</v>
      </c>
      <c r="B5" s="286"/>
      <c r="C5" s="286"/>
      <c r="D5" s="286"/>
    </row>
    <row r="6" spans="1:5">
      <c r="A6" s="287" t="s">
        <v>378</v>
      </c>
      <c r="B6" s="287"/>
    </row>
    <row r="7" spans="1:5">
      <c r="A7" s="9" t="s">
        <v>379</v>
      </c>
    </row>
    <row r="8" spans="1:5">
      <c r="A8" s="9"/>
    </row>
    <row r="9" spans="1:5">
      <c r="A9" s="288" t="s">
        <v>380</v>
      </c>
      <c r="B9" s="289"/>
      <c r="C9" s="241">
        <f>IFERROR(IF(Indice!B8="","2XX2",YEAR(Indice!B8)),"2XX2")</f>
        <v>2025</v>
      </c>
      <c r="D9" s="241">
        <f>IFERROR(YEAR(Indice!B8-365),"2XX1")</f>
        <v>2024</v>
      </c>
    </row>
    <row r="10" spans="1:5">
      <c r="A10" s="290" t="s">
        <v>381</v>
      </c>
      <c r="B10" s="291"/>
      <c r="C10" s="251">
        <v>522289802</v>
      </c>
      <c r="D10" s="292">
        <v>227985400</v>
      </c>
    </row>
    <row r="11" spans="1:5">
      <c r="A11" s="143" t="s">
        <v>382</v>
      </c>
      <c r="B11" s="293"/>
      <c r="C11" s="57">
        <v>1515384957</v>
      </c>
      <c r="D11" s="292">
        <v>1296526960</v>
      </c>
    </row>
    <row r="12" spans="1:5">
      <c r="A12" s="290" t="s">
        <v>383</v>
      </c>
      <c r="B12" s="293"/>
      <c r="C12" s="294">
        <v>15412665962</v>
      </c>
      <c r="D12" s="292">
        <v>6284873543</v>
      </c>
    </row>
    <row r="13" spans="1:5">
      <c r="A13" s="290" t="s">
        <v>384</v>
      </c>
      <c r="B13" s="293"/>
      <c r="C13" s="294">
        <f>45852152692-C14-C15</f>
        <v>36879964265</v>
      </c>
      <c r="D13" s="292">
        <v>10287052836</v>
      </c>
    </row>
    <row r="14" spans="1:5">
      <c r="A14" s="290" t="s">
        <v>385</v>
      </c>
      <c r="B14" s="293"/>
      <c r="C14" s="294">
        <v>27516278</v>
      </c>
      <c r="D14" s="292">
        <v>23716144</v>
      </c>
    </row>
    <row r="15" spans="1:5">
      <c r="A15" s="293" t="s">
        <v>386</v>
      </c>
      <c r="B15" s="293"/>
      <c r="C15" s="294">
        <v>8944672149</v>
      </c>
      <c r="D15" s="292">
        <v>8640982489</v>
      </c>
    </row>
    <row r="16" spans="1:5">
      <c r="A16" s="290" t="s">
        <v>387</v>
      </c>
      <c r="B16" s="293"/>
      <c r="C16" s="57">
        <v>3710644</v>
      </c>
      <c r="D16" s="292">
        <v>3165266</v>
      </c>
    </row>
    <row r="17" spans="1:4">
      <c r="A17" s="295" t="s">
        <v>257</v>
      </c>
      <c r="B17" s="295"/>
      <c r="C17" s="296">
        <f>SUM(C10:C16)</f>
        <v>63306204057</v>
      </c>
      <c r="D17" s="296">
        <f>SUM(D10:D16)</f>
        <v>26764302638</v>
      </c>
    </row>
  </sheetData>
  <hyperlinks>
    <hyperlink ref="E1" location="BG!A1" display="BG" xr:uid="{00000000-0004-0000-0800-000000000000}"/>
  </hyperlinks>
  <pageMargins left="0.70833333333333304" right="0.70833333333333304" top="0.74791666666666701" bottom="0.74791666666666701" header="0.511811023622047" footer="0.511811023622047"/>
  <pageSetup paperSize="5" scale="80" orientation="portrait" horizontalDpi="300" verticalDpi="300"/>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VUsuw8U6ptnDuXTVxbENI+dTMpFGUE4LXiNTW8n5XZU=</DigestValue>
    </Reference>
    <Reference Type="http://www.w3.org/2000/09/xmldsig#Object" URI="#idOfficeObject">
      <DigestMethod Algorithm="http://www.w3.org/2001/04/xmlenc#sha256"/>
      <DigestValue>1jp87kuFSlvN8JW0GNpe5GSo49ZWdQNr4uJpPOrojjQ=</DigestValue>
    </Reference>
    <Reference Type="http://uri.etsi.org/01903#SignedProperties" URI="#idSignedProperties">
      <Transforms>
        <Transform Algorithm="http://www.w3.org/TR/2001/REC-xml-c14n-20010315"/>
      </Transforms>
      <DigestMethod Algorithm="http://www.w3.org/2001/04/xmlenc#sha256"/>
      <DigestValue>HoMVkmDVhU//7cluw/jdYmBj+j+oJo70LGroLy7sUHM=</DigestValue>
    </Reference>
  </SignedInfo>
  <SignatureValue>rpg5px0uNzEu5D+u9PoF2kQS/BNDgF4kT3M+BJTiJJksvTYWMv/tvZpg9MQJMeLi68fBkScatkPT
y0tRbTm5aquKz1X7NE2aHROQ9KynyKXrWZE+37+9y2jSPaK4KUVINnN52yBHop261Npqx7zOrAAO
Rjqf1NDOcsKv3DNeNsmDxhay0GPR22kkZlL4meA5As9bPWQZ7FDsLqfCHEkqp9VDLqZS86ojkI13
/RWxG1YWOwesuwAZU8XLZlqpeTmWPl2+SK9LmIn36ydu7lRsC4aFMJwZYyLopQvRya+R2q6qwEuC
9p7maXIspl37hdSi3Y+PlKyV4v3f2Z3utyVhHQ==</SignatureValue>
  <KeyInfo>
    <X509Data>
      <X509Certificate>MIIIjTCCBnWgAwIBAgIIR2TBFQMzStowDQYJKoZIhvcNAQELBQAwWjEaMBgGA1UEAwwRQ0EtRE9DVU1FTlRBIFMuQS4xFjAUBgNVBAUTDVJVQzgwMDUwMTcyLTExFzAVBgNVBAoMDkRPQ1VNRU5UQSBTLkEuMQswCQYDVQQGEwJQWTAeFw0yNTAyMjAxMzA0MDBaFw0yNzAyMjAxMzA0MDBaMIHFMSkwJwYDVQQDDCBDQU1JTEEgREVKRVNVUyBWRU5JQUxHTyBERUxWQUxMRTESMBAGA1UEBRMJQ0kzMjAwMjc2MRcwFQYDVQQqDA5DQU1JTEEgREVKRVNVUzEaMBgGA1UEBAwRVkVOSUFMR08gREVMVkFMTEUxCzAJBgNVBAsMAkYyMTUwMwYDVQQKDCxDRVJUSUZJQ0FETyBDVUFMSUZJQ0FETyBERSBGSVJNQSBFTEVDVFJPTklDQTELMAkGA1UEBhMCUFkwggEiMA0GCSqGSIb3DQEBAQUAA4IBDwAwggEKAoIBAQDEmEhLwTtPRhiByTzc6eK/kW8tGRm/qgwvSEtmjMa4+gZxGiq8VshDTds/eBdQulJ9iRafBjIoT1Eveu2GhtcwgdvRl7WvT3AOj4wL1xZgHS68FFyvYIXyTbDf9NAswDr02cM4yI7RDC/BR7H68C49QB0Sjd6EroViO6qqFzEDQdu0mLinOCtHLexdZYpXJBHUxZ+ZIe0vhfV0H/QYPe7AfdJ3v2GdzbDIha2ntmupCAL05YIGcxBU1g/D8S9ZN5MgM1oXi9eRJTj1c4FhkcOYEa/yEBem1yiwWtfxbHGy7lh592XLiC/tBSlNVqk7ZnViKOYGz1lor++vEu7GvYFD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jYW1pbGF2QGt1cm9zd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r85Xq0ltiq4eodnQuUIBEfiavmjAOBgNVHQ8BAf8EBAMCBeAwDQYJKoZIhvcNAQELBQADggIBAA7H33KIoxlV6nTlIEPn9qQSULQM51eaOiBpW6ciuQjXoLvJRM9Ek5fe1szC8lguNICqgVhokplSk6AF5SfgoSvunh2s7wf6zhTCwzF7nmQhrOk7c61WutZ/be4LN9Bi6oSg0TGeF5qS0DxT55nfGzep7DUM+DAgMlQJDx1AOEtwLq1QGOI6CP/ARjM6Ql8nmgATv+dL403rQDKwLPA1AJA5PxW4z6lrKL0Z18EDYA158p1ckgKbvL7aHV818i+hf8U03KtdU+mSQgj/UsnD9prUwD4+Jbo0cvF3RhjnF8KI9T9MGu8j3/qSdI0SJtnyS8G6nfav2hS1EoQRuYdbaFHWh0JTriYlXOSoZvurKDKXBjtZghJptgQ3HXQe4Zg3vRwABXI2mE2VnT3Bz27INa4uw/6g/893UiEpqzywlJc/3d0s6RcvCavKRfj7mffBJH6BEmp0HY4Wfs9vzbOP01+uKFUMivLb3pspjYzGLYVHM+QCkz1hWUE3uoXvg2l4Z9V3GfAgFr15S3AEd7KvaB/Ho7LG+i3tsNKXNlyvbsYihgriXeN1GyogNDgchVumLraPCQjfR8IwxISbVZOEF6mnLcaFDJ6TisXNOjUZuNkVtUAAhSaYFK6xtUOYM2PuXsMEl08B5QrCHz/e5/+8LjKGN/0CNRlddra+/WXTJM0d</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45rYrGlyEJXzjXnHQU2WuDbCszhaaBBtn6RzfPEPkSk=</DigestValue>
      </Reference>
      <Reference URI="/xl/calcChain.xml?ContentType=application/vnd.openxmlformats-officedocument.spreadsheetml.calcChain+xml">
        <DigestMethod Algorithm="http://www.w3.org/2001/04/xmlenc#sha256"/>
        <DigestValue>igL5Wy9bnYWvGeREauhQ7ZaXrL8tn4dnoOYWBXa50P8=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ydEHTw4ODMGY9hX1vyx5wEhtP2VbrxF1KW5mPeXyHVE=</DigestValue>
      </Reference>
      <Reference URI="/xl/drawings/drawing2.xml?ContentType=application/vnd.openxmlformats-officedocument.drawing+xml">
        <DigestMethod Algorithm="http://www.w3.org/2001/04/xmlenc#sha256"/>
        <DigestValue>EOHlj2WD+Igy+Jk5+LNh5Vv7G8H2D1oSAgKAlISJBAc=</DigestValue>
      </Reference>
      <Reference URI="/xl/drawings/drawing3.xml?ContentType=application/vnd.openxmlformats-officedocument.drawing+xml">
        <DigestMethod Algorithm="http://www.w3.org/2001/04/xmlenc#sha256"/>
        <DigestValue>IUjQpl5gdkKrRymDHpMtAPH7wkS2HW1jQfCFXVxtenQ=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VZpySturZAbel9MB7YlBxg61xJ81OciJHQy1HRZ7HmE=</DigestValue>
      </Reference>
      <Reference URI="/xl/externalLinks/externalLink1.xml?ContentType=application/vnd.openxmlformats-officedocument.spreadsheetml.externalLink+xml">
        <DigestMethod Algorithm="http://www.w3.org/2001/04/xmlenc#sha256"/>
        <DigestValue>1K5qav3MWYTF7OA0Kp1FG5M8s7zeyFGUujd9R4tAXnk=</DigestValue>
      </Reference>
      <Reference URI="/xl/media/image1.png?ContentType=image/png">
        <DigestMethod Algorithm="http://www.w3.org/2001/04/xmlenc#sha256"/>
        <DigestValue>owlmADTj9r6aVajaLpe9Pk5lzdYbWQJp8/AhpiFro/k=</DigestValue>
      </Reference>
      <Reference URI="/xl/sharedStrings.xml?ContentType=application/vnd.openxmlformats-officedocument.spreadsheetml.sharedStrings+xml">
        <DigestMethod Algorithm="http://www.w3.org/2001/04/xmlenc#sha256"/>
        <DigestValue>6MRd+ZD7Qmkp1h5Trdn3j8qsg1WXv7jHcjIGLGUItpE=</DigestValue>
      </Reference>
      <Reference URI="/xl/styles.xml?ContentType=application/vnd.openxmlformats-officedocument.spreadsheetml.styles+xml">
        <DigestMethod Algorithm="http://www.w3.org/2001/04/xmlenc#sha256"/>
        <DigestValue>saY8g7UkCn8Zk0jHZl2TRSygh6LJ4QmAhdsD4ICPaMo=</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aAVxXQ3hb0QVfvZOrAKPkkJG5HZ5eiJdFDnOi3RALVg=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sheet1.xml?ContentType=application/vnd.openxmlformats-officedocument.spreadsheetml.worksheet+xml">
        <DigestMethod Algorithm="http://www.w3.org/2001/04/xmlenc#sha256"/>
        <DigestValue>8YctQeJ3xVcEKJUP4F+vZEHaXtamjk+TbATSUYkQkRs=</DigestValue>
      </Reference>
      <Reference URI="/xl/worksheets/sheet10.xml?ContentType=application/vnd.openxmlformats-officedocument.spreadsheetml.worksheet+xml">
        <DigestMethod Algorithm="http://www.w3.org/2001/04/xmlenc#sha256"/>
        <DigestValue>CuQncqWcoi+4GicDXWOqCRqB0R9JgpEsOw7GK7UFk4o=</DigestValue>
      </Reference>
      <Reference URI="/xl/worksheets/sheet11.xml?ContentType=application/vnd.openxmlformats-officedocument.spreadsheetml.worksheet+xml">
        <DigestMethod Algorithm="http://www.w3.org/2001/04/xmlenc#sha256"/>
        <DigestValue>pPWQFio5J6E6RiR4cr6o/u2jwmi+NC1+9itFBBCJnyk=</DigestValue>
      </Reference>
      <Reference URI="/xl/worksheets/sheet12.xml?ContentType=application/vnd.openxmlformats-officedocument.spreadsheetml.worksheet+xml">
        <DigestMethod Algorithm="http://www.w3.org/2001/04/xmlenc#sha256"/>
        <DigestValue>StDsZOmQnHfI/ZUvMPub6g9lEjKYgSq0CmOyurNpyvc=</DigestValue>
      </Reference>
      <Reference URI="/xl/worksheets/sheet13.xml?ContentType=application/vnd.openxmlformats-officedocument.spreadsheetml.worksheet+xml">
        <DigestMethod Algorithm="http://www.w3.org/2001/04/xmlenc#sha256"/>
        <DigestValue>pc2QnCp0zX8VnyS6CGfukGe9wJwd0fSfkI+gHUNvpLs=</DigestValue>
      </Reference>
      <Reference URI="/xl/worksheets/sheet14.xml?ContentType=application/vnd.openxmlformats-officedocument.spreadsheetml.worksheet+xml">
        <DigestMethod Algorithm="http://www.w3.org/2001/04/xmlenc#sha256"/>
        <DigestValue>iN/TlWWqhB2zwp16XoVUtCZOEl6AeB8GS+LvkKxjczA=</DigestValue>
      </Reference>
      <Reference URI="/xl/worksheets/sheet15.xml?ContentType=application/vnd.openxmlformats-officedocument.spreadsheetml.worksheet+xml">
        <DigestMethod Algorithm="http://www.w3.org/2001/04/xmlenc#sha256"/>
        <DigestValue>mmJ72E+iwvCEeBxTLhlIZqR5Qko25shfRJ3RQFLA6DE=</DigestValue>
      </Reference>
      <Reference URI="/xl/worksheets/sheet16.xml?ContentType=application/vnd.openxmlformats-officedocument.spreadsheetml.worksheet+xml">
        <DigestMethod Algorithm="http://www.w3.org/2001/04/xmlenc#sha256"/>
        <DigestValue>0DYQq7yTmhntdGYFtTeTzP3+TwHox2laEm/DpFbTn+E=</DigestValue>
      </Reference>
      <Reference URI="/xl/worksheets/sheet17.xml?ContentType=application/vnd.openxmlformats-officedocument.spreadsheetml.worksheet+xml">
        <DigestMethod Algorithm="http://www.w3.org/2001/04/xmlenc#sha256"/>
        <DigestValue>Qo+m6jCVoRy362DdTTHSYiZJMgt3RL7NIDzJy6wEEM8=</DigestValue>
      </Reference>
      <Reference URI="/xl/worksheets/sheet18.xml?ContentType=application/vnd.openxmlformats-officedocument.spreadsheetml.worksheet+xml">
        <DigestMethod Algorithm="http://www.w3.org/2001/04/xmlenc#sha256"/>
        <DigestValue>BCxvKWX7KMMhxLD2MXhWdgC46rn28qelQTJbfw/cFl8=</DigestValue>
      </Reference>
      <Reference URI="/xl/worksheets/sheet19.xml?ContentType=application/vnd.openxmlformats-officedocument.spreadsheetml.worksheet+xml">
        <DigestMethod Algorithm="http://www.w3.org/2001/04/xmlenc#sha256"/>
        <DigestValue>P2IKQGMZzj9kDU2D1uF/WQCG4AkjfiD6mQ5LK1yk0SY=</DigestValue>
      </Reference>
      <Reference URI="/xl/worksheets/sheet2.xml?ContentType=application/vnd.openxmlformats-officedocument.spreadsheetml.worksheet+xml">
        <DigestMethod Algorithm="http://www.w3.org/2001/04/xmlenc#sha256"/>
        <DigestValue>zO0yhQgrQAmNnMFacGnDw6xMtpIaBu1opXWbjO3v0S8=</DigestValue>
      </Reference>
      <Reference URI="/xl/worksheets/sheet20.xml?ContentType=application/vnd.openxmlformats-officedocument.spreadsheetml.worksheet+xml">
        <DigestMethod Algorithm="http://www.w3.org/2001/04/xmlenc#sha256"/>
        <DigestValue>DVVLwD/TCFlU2YIVxtTgON/YzRj1dF51O19v1aH75CY=</DigestValue>
      </Reference>
      <Reference URI="/xl/worksheets/sheet21.xml?ContentType=application/vnd.openxmlformats-officedocument.spreadsheetml.worksheet+xml">
        <DigestMethod Algorithm="http://www.w3.org/2001/04/xmlenc#sha256"/>
        <DigestValue>be0VIqwsFvHRNgvT2j7UyWeJazxsgCWAm7yw4eUOq2s=</DigestValue>
      </Reference>
      <Reference URI="/xl/worksheets/sheet22.xml?ContentType=application/vnd.openxmlformats-officedocument.spreadsheetml.worksheet+xml">
        <DigestMethod Algorithm="http://www.w3.org/2001/04/xmlenc#sha256"/>
        <DigestValue>KfYSAhWsPWSJEZDIij3jjWdzL2qfhhvDWu+mRzsXD5U=</DigestValue>
      </Reference>
      <Reference URI="/xl/worksheets/sheet23.xml?ContentType=application/vnd.openxmlformats-officedocument.spreadsheetml.worksheet+xml">
        <DigestMethod Algorithm="http://www.w3.org/2001/04/xmlenc#sha256"/>
        <DigestValue>lDcjClVY7q5rTXaI9qs/ILa1CRByMOQSpmDxjPcDiWw=</DigestValue>
      </Reference>
      <Reference URI="/xl/worksheets/sheet24.xml?ContentType=application/vnd.openxmlformats-officedocument.spreadsheetml.worksheet+xml">
        <DigestMethod Algorithm="http://www.w3.org/2001/04/xmlenc#sha256"/>
        <DigestValue>v8i4gNd2Mfj3O2z1XmebVCBZD9QMz9/GrUOwwusB0M0=</DigestValue>
      </Reference>
      <Reference URI="/xl/worksheets/sheet25.xml?ContentType=application/vnd.openxmlformats-officedocument.spreadsheetml.worksheet+xml">
        <DigestMethod Algorithm="http://www.w3.org/2001/04/xmlenc#sha256"/>
        <DigestValue>25MFxCI8S6z3U8Q2KZU1kqmIvdW3n/bBf7RXqvoepfs=</DigestValue>
      </Reference>
      <Reference URI="/xl/worksheets/sheet26.xml?ContentType=application/vnd.openxmlformats-officedocument.spreadsheetml.worksheet+xml">
        <DigestMethod Algorithm="http://www.w3.org/2001/04/xmlenc#sha256"/>
        <DigestValue>t/fKuI8PdjoVdDgJXUivricNZz0zyF67DGe3e7bsAPU=</DigestValue>
      </Reference>
      <Reference URI="/xl/worksheets/sheet27.xml?ContentType=application/vnd.openxmlformats-officedocument.spreadsheetml.worksheet+xml">
        <DigestMethod Algorithm="http://www.w3.org/2001/04/xmlenc#sha256"/>
        <DigestValue>mfw6rVUga/2/XcaCXyHQWraAyuF4JcitWBYHv5RDUGs=</DigestValue>
      </Reference>
      <Reference URI="/xl/worksheets/sheet28.xml?ContentType=application/vnd.openxmlformats-officedocument.spreadsheetml.worksheet+xml">
        <DigestMethod Algorithm="http://www.w3.org/2001/04/xmlenc#sha256"/>
        <DigestValue>enOwgAviUwu4zxX7Fn+NRQOMNSmfb1DoriYMCBMHBtM=</DigestValue>
      </Reference>
      <Reference URI="/xl/worksheets/sheet29.xml?ContentType=application/vnd.openxmlformats-officedocument.spreadsheetml.worksheet+xml">
        <DigestMethod Algorithm="http://www.w3.org/2001/04/xmlenc#sha256"/>
        <DigestValue>a4XvVALrTygmOZf/q3SBpEMSMTO+tJN0UOtRgKaVJS8=</DigestValue>
      </Reference>
      <Reference URI="/xl/worksheets/sheet3.xml?ContentType=application/vnd.openxmlformats-officedocument.spreadsheetml.worksheet+xml">
        <DigestMethod Algorithm="http://www.w3.org/2001/04/xmlenc#sha256"/>
        <DigestValue>BR2ms/mjJD8SgNwLE05C8XoHXgzHYPQ3R69L0Of69tc=</DigestValue>
      </Reference>
      <Reference URI="/xl/worksheets/sheet30.xml?ContentType=application/vnd.openxmlformats-officedocument.spreadsheetml.worksheet+xml">
        <DigestMethod Algorithm="http://www.w3.org/2001/04/xmlenc#sha256"/>
        <DigestValue>8kq8zEyacfDt7UUuUqfBAixnwPmwNwubXS057KSAVQk=</DigestValue>
      </Reference>
      <Reference URI="/xl/worksheets/sheet31.xml?ContentType=application/vnd.openxmlformats-officedocument.spreadsheetml.worksheet+xml">
        <DigestMethod Algorithm="http://www.w3.org/2001/04/xmlenc#sha256"/>
        <DigestValue>qSOGI/v/dmzS/JJ6z8uwSIp+wm2szZXEj7PHgEmo7Fc=</DigestValue>
      </Reference>
      <Reference URI="/xl/worksheets/sheet32.xml?ContentType=application/vnd.openxmlformats-officedocument.spreadsheetml.worksheet+xml">
        <DigestMethod Algorithm="http://www.w3.org/2001/04/xmlenc#sha256"/>
        <DigestValue>DVTaoBKyLnuzmRm5eV7fh/rMkuxWiWPV3aS5R8ZnUZQ=</DigestValue>
      </Reference>
      <Reference URI="/xl/worksheets/sheet33.xml?ContentType=application/vnd.openxmlformats-officedocument.spreadsheetml.worksheet+xml">
        <DigestMethod Algorithm="http://www.w3.org/2001/04/xmlenc#sha256"/>
        <DigestValue>tjvXAFel8MCGLhfC2iNF55TGa9J2VNN0u0tJaCc2J3g=</DigestValue>
      </Reference>
      <Reference URI="/xl/worksheets/sheet34.xml?ContentType=application/vnd.openxmlformats-officedocument.spreadsheetml.worksheet+xml">
        <DigestMethod Algorithm="http://www.w3.org/2001/04/xmlenc#sha256"/>
        <DigestValue>lS5Fd6Qm/vcWRguTlMSJ4C2tdlJh4fEm9mJwYGAmVJQ=</DigestValue>
      </Reference>
      <Reference URI="/xl/worksheets/sheet35.xml?ContentType=application/vnd.openxmlformats-officedocument.spreadsheetml.worksheet+xml">
        <DigestMethod Algorithm="http://www.w3.org/2001/04/xmlenc#sha256"/>
        <DigestValue>cbX5LAfBxfWCQ8aNCNC4EDE6JPASA23ZaGL//TW3u6A=</DigestValue>
      </Reference>
      <Reference URI="/xl/worksheets/sheet36.xml?ContentType=application/vnd.openxmlformats-officedocument.spreadsheetml.worksheet+xml">
        <DigestMethod Algorithm="http://www.w3.org/2001/04/xmlenc#sha256"/>
        <DigestValue>3tk2QV6x4CiBR3yrLZRgQWq6mSlSh/60OhHP9iE8HmA=</DigestValue>
      </Reference>
      <Reference URI="/xl/worksheets/sheet37.xml?ContentType=application/vnd.openxmlformats-officedocument.spreadsheetml.worksheet+xml">
        <DigestMethod Algorithm="http://www.w3.org/2001/04/xmlenc#sha256"/>
        <DigestValue>xQcXbZVflhdyOGfnsQMfGKWgUhxbT473QQ9+Lot6/Zk=</DigestValue>
      </Reference>
      <Reference URI="/xl/worksheets/sheet38.xml?ContentType=application/vnd.openxmlformats-officedocument.spreadsheetml.worksheet+xml">
        <DigestMethod Algorithm="http://www.w3.org/2001/04/xmlenc#sha256"/>
        <DigestValue>mJMN7bsYfFGvW8AHlmxi7HMr87BowQNmMV1d5TeVcF8=</DigestValue>
      </Reference>
      <Reference URI="/xl/worksheets/sheet39.xml?ContentType=application/vnd.openxmlformats-officedocument.spreadsheetml.worksheet+xml">
        <DigestMethod Algorithm="http://www.w3.org/2001/04/xmlenc#sha256"/>
        <DigestValue>o4o/2GByYzWfCShOz82vf7xOSFiiDmW7Ukd4n5viKRU=</DigestValue>
      </Reference>
      <Reference URI="/xl/worksheets/sheet4.xml?ContentType=application/vnd.openxmlformats-officedocument.spreadsheetml.worksheet+xml">
        <DigestMethod Algorithm="http://www.w3.org/2001/04/xmlenc#sha256"/>
        <DigestValue>HFISsmfiiTUemKtqS9S2AZmqnSduKhgGnry/86Y75lc=</DigestValue>
      </Reference>
      <Reference URI="/xl/worksheets/sheet40.xml?ContentType=application/vnd.openxmlformats-officedocument.spreadsheetml.worksheet+xml">
        <DigestMethod Algorithm="http://www.w3.org/2001/04/xmlenc#sha256"/>
        <DigestValue>TO/82acYCtyuyA+jwJvbUP2T7DdnI20FzBI2ndJ1pKA=</DigestValue>
      </Reference>
      <Reference URI="/xl/worksheets/sheet41.xml?ContentType=application/vnd.openxmlformats-officedocument.spreadsheetml.worksheet+xml">
        <DigestMethod Algorithm="http://www.w3.org/2001/04/xmlenc#sha256"/>
        <DigestValue>bmKVEfVtD0rQerowU2H3mFqjhQAFw00EyH1HbUsgYFE=</DigestValue>
      </Reference>
      <Reference URI="/xl/worksheets/sheet42.xml?ContentType=application/vnd.openxmlformats-officedocument.spreadsheetml.worksheet+xml">
        <DigestMethod Algorithm="http://www.w3.org/2001/04/xmlenc#sha256"/>
        <DigestValue>7+ATSMQSRBGQkHoY3C4BeIkiGZip1FUbOZPIZ0vjKto=</DigestValue>
      </Reference>
      <Reference URI="/xl/worksheets/sheet43.xml?ContentType=application/vnd.openxmlformats-officedocument.spreadsheetml.worksheet+xml">
        <DigestMethod Algorithm="http://www.w3.org/2001/04/xmlenc#sha256"/>
        <DigestValue>amFJfFVwtjXos+/2LSyDW2XAT1epe7UG7C1K1hGvKSk=</DigestValue>
      </Reference>
      <Reference URI="/xl/worksheets/sheet44.xml?ContentType=application/vnd.openxmlformats-officedocument.spreadsheetml.worksheet+xml">
        <DigestMethod Algorithm="http://www.w3.org/2001/04/xmlenc#sha256"/>
        <DigestValue>VZ0Zzp+T74EOl1JyOgb6URUR76sbo6WHiI/jHeD/ccs=</DigestValue>
      </Reference>
      <Reference URI="/xl/worksheets/sheet45.xml?ContentType=application/vnd.openxmlformats-officedocument.spreadsheetml.worksheet+xml">
        <DigestMethod Algorithm="http://www.w3.org/2001/04/xmlenc#sha256"/>
        <DigestValue>Uy2rK8AnNIHAYAhG8wB7c2QDTbnrRUGGqON7SVX9S48=</DigestValue>
      </Reference>
      <Reference URI="/xl/worksheets/sheet46.xml?ContentType=application/vnd.openxmlformats-officedocument.spreadsheetml.worksheet+xml">
        <DigestMethod Algorithm="http://www.w3.org/2001/04/xmlenc#sha256"/>
        <DigestValue>Ol1WDiDaQb90fOd025M7DN1l16BwzSPvFT5hopg/1Ow=</DigestValue>
      </Reference>
      <Reference URI="/xl/worksheets/sheet47.xml?ContentType=application/vnd.openxmlformats-officedocument.spreadsheetml.worksheet+xml">
        <DigestMethod Algorithm="http://www.w3.org/2001/04/xmlenc#sha256"/>
        <DigestValue>ACvXi67m2KJ6JaYSQ8/AzfO9ooCkheS2JouArRVdImI=</DigestValue>
      </Reference>
      <Reference URI="/xl/worksheets/sheet5.xml?ContentType=application/vnd.openxmlformats-officedocument.spreadsheetml.worksheet+xml">
        <DigestMethod Algorithm="http://www.w3.org/2001/04/xmlenc#sha256"/>
        <DigestValue>ByDQ3be0E7LYnJS4PQCU37w5a4qCEMOmz3/DGUJhD+g=</DigestValue>
      </Reference>
      <Reference URI="/xl/worksheets/sheet6.xml?ContentType=application/vnd.openxmlformats-officedocument.spreadsheetml.worksheet+xml">
        <DigestMethod Algorithm="http://www.w3.org/2001/04/xmlenc#sha256"/>
        <DigestValue>5sb6Gnp70npg4zoAA/saEVo8DBr7JfgY3kC8fsPMI4U=</DigestValue>
      </Reference>
      <Reference URI="/xl/worksheets/sheet7.xml?ContentType=application/vnd.openxmlformats-officedocument.spreadsheetml.worksheet+xml">
        <DigestMethod Algorithm="http://www.w3.org/2001/04/xmlenc#sha256"/>
        <DigestValue>YhmfAas0sV+vmc+DcVyCeaQXChDTPst+BBxHEAFCf7A=</DigestValue>
      </Reference>
      <Reference URI="/xl/worksheets/sheet8.xml?ContentType=application/vnd.openxmlformats-officedocument.spreadsheetml.worksheet+xml">
        <DigestMethod Algorithm="http://www.w3.org/2001/04/xmlenc#sha256"/>
        <DigestValue>ung8YHH7qjBiHybi9ymCmJ5MEZj4yu6KKiPmp/4h+rU=</DigestValue>
      </Reference>
      <Reference URI="/xl/worksheets/sheet9.xml?ContentType=application/vnd.openxmlformats-officedocument.spreadsheetml.worksheet+xml">
        <DigestMethod Algorithm="http://www.w3.org/2001/04/xmlenc#sha256"/>
        <DigestValue>Tnqe9+9LqPLdbPdrEV310LiZ/er+rR3/3mmbPTDeQSs=</DigestValue>
      </Reference>
    </Manifest>
    <SignatureProperties>
      <SignatureProperty Id="idSignatureTime" Target="#idPackageSignature">
        <mdssi:SignatureTime xmlns:mdssi="http://schemas.openxmlformats.org/package/2006/digital-signature">
          <mdssi:Format>YYYY-MM-DDThh:mm:ssTZD</mdssi:Format>
          <mdssi:Value>2025-05-12T19:24:50Z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Contadora</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2025-05-12T19:24:50Z</xd:SigningTime>
          <xd:SigningCertificate>
            <xd:Cert>
              <xd:CertDigest>
                <DigestMethod Algorithm="http://www.w3.org/2001/04/xmlenc#sha256"/>
                <DigestValue>gkWAU9AsY6pAJrMraMIw7sB0VtoKB8Cja4lZIqdWwmI=</DigestValue>
              </xd:CertDigest>
              <xd:IssuerSerial>
                <X509IssuerName>C=PY, O=DOCUMENTA S.A., SERIALNUMBER=RUC80050172-1, CN=CA-DOCUMENTA S.A.</X509IssuerName>
                <X509SerialNumber>5144448970356116186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Contadora</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3j/U2mJe3p9iChrD1q7ruQmSacJUWEL5TUdU8wB195I=</DigestValue>
    </Reference>
    <Reference Type="http://www.w3.org/2000/09/xmldsig#Object" URI="#idOfficeObject">
      <DigestMethod Algorithm="http://www.w3.org/2001/04/xmlenc#sha256"/>
      <DigestValue>K9fW3+rdkAwqr1kJN1sDizfhmzKew45jLUpt3cQwGt8=</DigestValue>
    </Reference>
    <Reference Type="http://uri.etsi.org/01903#SignedProperties" URI="#idSignedProperties">
      <Transforms>
        <Transform Algorithm="http://www.w3.org/TR/2001/REC-xml-c14n-20010315"/>
      </Transforms>
      <DigestMethod Algorithm="http://www.w3.org/2001/04/xmlenc#sha256"/>
      <DigestValue>Evmf88gHo7mfNhREni1qCArnbdq5GQfyIDuo/4bjp5o=</DigestValue>
    </Reference>
  </SignedInfo>
  <SignatureValue>SGitfVwJzjKj1IYybk7ILHwtfKd97FnKIRM16P5SR31UD07uDR2zdZ1CzoL1JVeKAjLKEfDGVhM4
IiH1ZAivnxgjdNindLpuVtm9EKsgzhVUrsG+QS5xEk/KhBizUt/bGgz9faaT1qCaJTNlVIJR/WOg
JAWpfL+5LBdREhj8SMK688wGgtWlAvBPxACvJcAyUnSGsyVdpCnJI0j/k1zsoeUyUbCHJEFHpLTI
j2jzTExdjhlXkvOAmCnymGMW3awAo3CsEN8F6PkkrVeJG6JQJ3JAxhLb3hg4WbC53p6zqzXZN//7
sx7ARfrN5eZ+VjLzMNEOa6I/5LKDZaqZs9b1LA==</SignatureValue>
  <KeyInfo>
    <X509Data>
      <X509Certificate>MIIIjDCCBnSgAwIBAgIIPNWDjvdX9MYwDQYJKoZIhvcNAQELBQAwWjEaMBgGA1UEAwwRQ0EtRE9DVU1FTlRBIFMuQS4xFjAUBgNVBAUTDVJVQzgwMDUwMTcyLTExFzAVBgNVBAoMDkRPQ1VNRU5UQSBTLkEuMQswCQYDVQQGEwJQWTAeFw0yNTAyMjAxMzE5MDBaFw0yNzAyMjAxMzE5MDBaMIHEMSkwJwYDVQQDDCBFVkEgUk9TQSBST0RSSUdVRVogREUgSEVSTU9TSUxMQTERMA8GA1UEBRMIQ0k1MzQ1MDYxETAPBgNVBCoMCEVWQSBST1NBMSAwHgYDVQQEDBdST0RSSUdVRVogREUgSEVSTU9TSUxMQTELMAkGA1UECwwCRjIxNTAzBgNVBAoMLENFUlRJRklDQURPIENVQUxJRklDQURPIERFIEZJUk1BIEVMRUNUUk9OSUNBMQswCQYDVQQGEwJQWTCCASIwDQYJKoZIhvcNAQEBBQADggEPADCCAQoCggEBAMAEKYtmNEiCnMbjiW+ip8T41/MbbLeTN09/I0Ki7tW40Tc2c3ZR2tjfOHruSOp7uVbT4GxYdIF/Z3Txsar/KSmTnJA33NXJsoKg6s4zUdr7xu8RrQ99dP9Vx+Ilfnu/tJTwoN1cAPx28DSNOyACXuwWdzHrbeELt4tCi/QzxPZfUSXh4mMuXixdIiLKYjF/EXreAVtfBe6ZiU2SB2uTmA9RpUL2O6z2sKSerjEbuj/Ka23JiPyr7jyYhxgVk3/56TYWCQVmIf21p4kQIE4FWpH0Gd8VAFtKUsCppj8mm0SMSsdWFKMj710nahK8s4uc2Raeel1wKd7AJUaQDLtN1KU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V2YXJvc2F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mU4JZhzAR7YFtk90MWaatV6r0+MA4GA1UdDwEB/wQEAwIF4DANBgkqhkiG9w0BAQsFAAOCAgEAAq5FDk65bekyeH6HmdJf81vFJ63UlL2yBQOk6203/mDRWILwtM6e50iYZ94ecgHjsOht6M2PhljiqIY/cDG+3PSW8nirKvf5MLr/S0ZiEkNzjMJACFi9Q6X4ouC65uiOvV8pL/hhIDr7Ekqs7w4w9IriPnhnFvQkKRAsy80MYDZ/F4m9is/3Sq6Py8RwvF7N+zX9wrbXWE22wcYijqWwmG2SwH1wTPDLdoQ0QalpZw90yqpCsizRtd4z3hebjQnqgVANkMfoyN1I6GtrzptjmrsFdAOW5r7VcT513RpxYPKuoQMLGdAmfGTIL2VcC7B1FD8UPIolBC0hcGVllh1LddtfbXce5LTOMJ2g/UkI2yhOUIqn4aolkNeR1mB4LEc4n+ieSqrV4bLiOarfXDxPZr/FWB4JNMXm8yUApQqz4m021ANLQ3sKYBmC650ygyTaLRqd/hdD8JEzoO8I82EFa7F347Cr7naL/MwQCQgFbvCuQVJcyypOKnO9VMu+8z9wK8T4NKPS5vl6RrIVOShXIFn8ubbht4uAEIakw4OV87NolvbAAnbtEo8zYpCM9fY+OPgVRfpctafPOXT4VkHgubVWgeNivF/TQwTjpcfyBvSYubLwvBOVYxj02iOwGd2R4cY4QA4oAaFThKd/+xu3+sENuBOpZXU5t1YF3/y37d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Transform>
          <Transform Algorithm="http://www.w3.org/TR/2001/REC-xml-c14n-20010315"/>
        </Transforms>
        <DigestMethod Algorithm="http://www.w3.org/2001/04/xmlenc#sha256"/>
        <DigestValue>45rYrGlyEJXzjXnHQU2WuDbCszhaaBBtn6RzfPEPkSk=</DigestValue>
      </Reference>
      <Reference URI="/xl/calcChain.xml?ContentType=application/vnd.openxmlformats-officedocument.spreadsheetml.calcChain+xml">
        <DigestMethod Algorithm="http://www.w3.org/2001/04/xmlenc#sha256"/>
        <DigestValue>igL5Wy9bnYWvGeREauhQ7ZaXrL8tn4dnoOYWBXa50P8=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ydEHTw4ODMGY9hX1vyx5wEhtP2VbrxF1KW5mPeXyHVE=</DigestValue>
      </Reference>
      <Reference URI="/xl/drawings/drawing2.xml?ContentType=application/vnd.openxmlformats-officedocument.drawing+xml">
        <DigestMethod Algorithm="http://www.w3.org/2001/04/xmlenc#sha256"/>
        <DigestValue>EOHlj2WD+Igy+Jk5+LNh5Vv7G8H2D1oSAgKAlISJBAc=</DigestValue>
      </Reference>
      <Reference URI="/xl/drawings/drawing3.xml?ContentType=application/vnd.openxmlformats-officedocument.drawing+xml">
        <DigestMethod Algorithm="http://www.w3.org/2001/04/xmlenc#sha256"/>
        <DigestValue>IUjQpl5gdkKrRymDHpMtAPH7wkS2HW1jQfCFXVxtenQ=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VZpySturZAbel9MB7YlBxg61xJ81OciJHQy1HRZ7HmE=</DigestValue>
      </Reference>
      <Reference URI="/xl/externalLinks/externalLink1.xml?ContentType=application/vnd.openxmlformats-officedocument.spreadsheetml.externalLink+xml">
        <DigestMethod Algorithm="http://www.w3.org/2001/04/xmlenc#sha256"/>
        <DigestValue>1K5qav3MWYTF7OA0Kp1FG5M8s7zeyFGUujd9R4tAXnk=</DigestValue>
      </Reference>
      <Reference URI="/xl/media/image1.png?ContentType=image/png">
        <DigestMethod Algorithm="http://www.w3.org/2001/04/xmlenc#sha256"/>
        <DigestValue>owlmADTj9r6aVajaLpe9Pk5lzdYbWQJp8/AhpiFro/k=</DigestValue>
      </Reference>
      <Reference URI="/xl/sharedStrings.xml?ContentType=application/vnd.openxmlformats-officedocument.spreadsheetml.sharedStrings+xml">
        <DigestMethod Algorithm="http://www.w3.org/2001/04/xmlenc#sha256"/>
        <DigestValue>6MRd+ZD7Qmkp1h5Trdn3j8qsg1WXv7jHcjIGLGUItpE=</DigestValue>
      </Reference>
      <Reference URI="/xl/styles.xml?ContentType=application/vnd.openxmlformats-officedocument.spreadsheetml.styles+xml">
        <DigestMethod Algorithm="http://www.w3.org/2001/04/xmlenc#sha256"/>
        <DigestValue>saY8g7UkCn8Zk0jHZl2TRSygh6LJ4QmAhdsD4ICPaMo=</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aAVxXQ3hb0QVfvZOrAKPkkJG5HZ5eiJdFDnOi3RALVg=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sheet1.xml?ContentType=application/vnd.openxmlformats-officedocument.spreadsheetml.worksheet+xml">
        <DigestMethod Algorithm="http://www.w3.org/2001/04/xmlenc#sha256"/>
        <DigestValue>8YctQeJ3xVcEKJUP4F+vZEHaXtamjk+TbATSUYkQkRs=</DigestValue>
      </Reference>
      <Reference URI="/xl/worksheets/sheet10.xml?ContentType=application/vnd.openxmlformats-officedocument.spreadsheetml.worksheet+xml">
        <DigestMethod Algorithm="http://www.w3.org/2001/04/xmlenc#sha256"/>
        <DigestValue>CuQncqWcoi+4GicDXWOqCRqB0R9JgpEsOw7GK7UFk4o=</DigestValue>
      </Reference>
      <Reference URI="/xl/worksheets/sheet11.xml?ContentType=application/vnd.openxmlformats-officedocument.spreadsheetml.worksheet+xml">
        <DigestMethod Algorithm="http://www.w3.org/2001/04/xmlenc#sha256"/>
        <DigestValue>pPWQFio5J6E6RiR4cr6o/u2jwmi+NC1+9itFBBCJnyk=</DigestValue>
      </Reference>
      <Reference URI="/xl/worksheets/sheet12.xml?ContentType=application/vnd.openxmlformats-officedocument.spreadsheetml.worksheet+xml">
        <DigestMethod Algorithm="http://www.w3.org/2001/04/xmlenc#sha256"/>
        <DigestValue>StDsZOmQnHfI/ZUvMPub6g9lEjKYgSq0CmOyurNpyvc=</DigestValue>
      </Reference>
      <Reference URI="/xl/worksheets/sheet13.xml?ContentType=application/vnd.openxmlformats-officedocument.spreadsheetml.worksheet+xml">
        <DigestMethod Algorithm="http://www.w3.org/2001/04/xmlenc#sha256"/>
        <DigestValue>pc2QnCp0zX8VnyS6CGfukGe9wJwd0fSfkI+gHUNvpLs=</DigestValue>
      </Reference>
      <Reference URI="/xl/worksheets/sheet14.xml?ContentType=application/vnd.openxmlformats-officedocument.spreadsheetml.worksheet+xml">
        <DigestMethod Algorithm="http://www.w3.org/2001/04/xmlenc#sha256"/>
        <DigestValue>iN/TlWWqhB2zwp16XoVUtCZOEl6AeB8GS+LvkKxjczA=</DigestValue>
      </Reference>
      <Reference URI="/xl/worksheets/sheet15.xml?ContentType=application/vnd.openxmlformats-officedocument.spreadsheetml.worksheet+xml">
        <DigestMethod Algorithm="http://www.w3.org/2001/04/xmlenc#sha256"/>
        <DigestValue>mmJ72E+iwvCEeBxTLhlIZqR5Qko25shfRJ3RQFLA6DE=</DigestValue>
      </Reference>
      <Reference URI="/xl/worksheets/sheet16.xml?ContentType=application/vnd.openxmlformats-officedocument.spreadsheetml.worksheet+xml">
        <DigestMethod Algorithm="http://www.w3.org/2001/04/xmlenc#sha256"/>
        <DigestValue>0DYQq7yTmhntdGYFtTeTzP3+TwHox2laEm/DpFbTn+E=</DigestValue>
      </Reference>
      <Reference URI="/xl/worksheets/sheet17.xml?ContentType=application/vnd.openxmlformats-officedocument.spreadsheetml.worksheet+xml">
        <DigestMethod Algorithm="http://www.w3.org/2001/04/xmlenc#sha256"/>
        <DigestValue>Qo+m6jCVoRy362DdTTHSYiZJMgt3RL7NIDzJy6wEEM8=</DigestValue>
      </Reference>
      <Reference URI="/xl/worksheets/sheet18.xml?ContentType=application/vnd.openxmlformats-officedocument.spreadsheetml.worksheet+xml">
        <DigestMethod Algorithm="http://www.w3.org/2001/04/xmlenc#sha256"/>
        <DigestValue>BCxvKWX7KMMhxLD2MXhWdgC46rn28qelQTJbfw/cFl8=</DigestValue>
      </Reference>
      <Reference URI="/xl/worksheets/sheet19.xml?ContentType=application/vnd.openxmlformats-officedocument.spreadsheetml.worksheet+xml">
        <DigestMethod Algorithm="http://www.w3.org/2001/04/xmlenc#sha256"/>
        <DigestValue>P2IKQGMZzj9kDU2D1uF/WQCG4AkjfiD6mQ5LK1yk0SY=</DigestValue>
      </Reference>
      <Reference URI="/xl/worksheets/sheet2.xml?ContentType=application/vnd.openxmlformats-officedocument.spreadsheetml.worksheet+xml">
        <DigestMethod Algorithm="http://www.w3.org/2001/04/xmlenc#sha256"/>
        <DigestValue>zO0yhQgrQAmNnMFacGnDw6xMtpIaBu1opXWbjO3v0S8=</DigestValue>
      </Reference>
      <Reference URI="/xl/worksheets/sheet20.xml?ContentType=application/vnd.openxmlformats-officedocument.spreadsheetml.worksheet+xml">
        <DigestMethod Algorithm="http://www.w3.org/2001/04/xmlenc#sha256"/>
        <DigestValue>DVVLwD/TCFlU2YIVxtTgON/YzRj1dF51O19v1aH75CY=</DigestValue>
      </Reference>
      <Reference URI="/xl/worksheets/sheet21.xml?ContentType=application/vnd.openxmlformats-officedocument.spreadsheetml.worksheet+xml">
        <DigestMethod Algorithm="http://www.w3.org/2001/04/xmlenc#sha256"/>
        <DigestValue>be0VIqwsFvHRNgvT2j7UyWeJazxsgCWAm7yw4eUOq2s=</DigestValue>
      </Reference>
      <Reference URI="/xl/worksheets/sheet22.xml?ContentType=application/vnd.openxmlformats-officedocument.spreadsheetml.worksheet+xml">
        <DigestMethod Algorithm="http://www.w3.org/2001/04/xmlenc#sha256"/>
        <DigestValue>KfYSAhWsPWSJEZDIij3jjWdzL2qfhhvDWu+mRzsXD5U=</DigestValue>
      </Reference>
      <Reference URI="/xl/worksheets/sheet23.xml?ContentType=application/vnd.openxmlformats-officedocument.spreadsheetml.worksheet+xml">
        <DigestMethod Algorithm="http://www.w3.org/2001/04/xmlenc#sha256"/>
        <DigestValue>lDcjClVY7q5rTXaI9qs/ILa1CRByMOQSpmDxjPcDiWw=</DigestValue>
      </Reference>
      <Reference URI="/xl/worksheets/sheet24.xml?ContentType=application/vnd.openxmlformats-officedocument.spreadsheetml.worksheet+xml">
        <DigestMethod Algorithm="http://www.w3.org/2001/04/xmlenc#sha256"/>
        <DigestValue>v8i4gNd2Mfj3O2z1XmebVCBZD9QMz9/GrUOwwusB0M0=</DigestValue>
      </Reference>
      <Reference URI="/xl/worksheets/sheet25.xml?ContentType=application/vnd.openxmlformats-officedocument.spreadsheetml.worksheet+xml">
        <DigestMethod Algorithm="http://www.w3.org/2001/04/xmlenc#sha256"/>
        <DigestValue>25MFxCI8S6z3U8Q2KZU1kqmIvdW3n/bBf7RXqvoepfs=</DigestValue>
      </Reference>
      <Reference URI="/xl/worksheets/sheet26.xml?ContentType=application/vnd.openxmlformats-officedocument.spreadsheetml.worksheet+xml">
        <DigestMethod Algorithm="http://www.w3.org/2001/04/xmlenc#sha256"/>
        <DigestValue>t/fKuI8PdjoVdDgJXUivricNZz0zyF67DGe3e7bsAPU=</DigestValue>
      </Reference>
      <Reference URI="/xl/worksheets/sheet27.xml?ContentType=application/vnd.openxmlformats-officedocument.spreadsheetml.worksheet+xml">
        <DigestMethod Algorithm="http://www.w3.org/2001/04/xmlenc#sha256"/>
        <DigestValue>mfw6rVUga/2/XcaCXyHQWraAyuF4JcitWBYHv5RDUGs=</DigestValue>
      </Reference>
      <Reference URI="/xl/worksheets/sheet28.xml?ContentType=application/vnd.openxmlformats-officedocument.spreadsheetml.worksheet+xml">
        <DigestMethod Algorithm="http://www.w3.org/2001/04/xmlenc#sha256"/>
        <DigestValue>enOwgAviUwu4zxX7Fn+NRQOMNSmfb1DoriYMCBMHBtM=</DigestValue>
      </Reference>
      <Reference URI="/xl/worksheets/sheet29.xml?ContentType=application/vnd.openxmlformats-officedocument.spreadsheetml.worksheet+xml">
        <DigestMethod Algorithm="http://www.w3.org/2001/04/xmlenc#sha256"/>
        <DigestValue>a4XvVALrTygmOZf/q3SBpEMSMTO+tJN0UOtRgKaVJS8=</DigestValue>
      </Reference>
      <Reference URI="/xl/worksheets/sheet3.xml?ContentType=application/vnd.openxmlformats-officedocument.spreadsheetml.worksheet+xml">
        <DigestMethod Algorithm="http://www.w3.org/2001/04/xmlenc#sha256"/>
        <DigestValue>BR2ms/mjJD8SgNwLE05C8XoHXgzHYPQ3R69L0Of69tc=</DigestValue>
      </Reference>
      <Reference URI="/xl/worksheets/sheet30.xml?ContentType=application/vnd.openxmlformats-officedocument.spreadsheetml.worksheet+xml">
        <DigestMethod Algorithm="http://www.w3.org/2001/04/xmlenc#sha256"/>
        <DigestValue>8kq8zEyacfDt7UUuUqfBAixnwPmwNwubXS057KSAVQk=</DigestValue>
      </Reference>
      <Reference URI="/xl/worksheets/sheet31.xml?ContentType=application/vnd.openxmlformats-officedocument.spreadsheetml.worksheet+xml">
        <DigestMethod Algorithm="http://www.w3.org/2001/04/xmlenc#sha256"/>
        <DigestValue>qSOGI/v/dmzS/JJ6z8uwSIp+wm2szZXEj7PHgEmo7Fc=</DigestValue>
      </Reference>
      <Reference URI="/xl/worksheets/sheet32.xml?ContentType=application/vnd.openxmlformats-officedocument.spreadsheetml.worksheet+xml">
        <DigestMethod Algorithm="http://www.w3.org/2001/04/xmlenc#sha256"/>
        <DigestValue>DVTaoBKyLnuzmRm5eV7fh/rMkuxWiWPV3aS5R8ZnUZQ=</DigestValue>
      </Reference>
      <Reference URI="/xl/worksheets/sheet33.xml?ContentType=application/vnd.openxmlformats-officedocument.spreadsheetml.worksheet+xml">
        <DigestMethod Algorithm="http://www.w3.org/2001/04/xmlenc#sha256"/>
        <DigestValue>tjvXAFel8MCGLhfC2iNF55TGa9J2VNN0u0tJaCc2J3g=</DigestValue>
      </Reference>
      <Reference URI="/xl/worksheets/sheet34.xml?ContentType=application/vnd.openxmlformats-officedocument.spreadsheetml.worksheet+xml">
        <DigestMethod Algorithm="http://www.w3.org/2001/04/xmlenc#sha256"/>
        <DigestValue>lS5Fd6Qm/vcWRguTlMSJ4C2tdlJh4fEm9mJwYGAmVJQ=</DigestValue>
      </Reference>
      <Reference URI="/xl/worksheets/sheet35.xml?ContentType=application/vnd.openxmlformats-officedocument.spreadsheetml.worksheet+xml">
        <DigestMethod Algorithm="http://www.w3.org/2001/04/xmlenc#sha256"/>
        <DigestValue>cbX5LAfBxfWCQ8aNCNC4EDE6JPASA23ZaGL//TW3u6A=</DigestValue>
      </Reference>
      <Reference URI="/xl/worksheets/sheet36.xml?ContentType=application/vnd.openxmlformats-officedocument.spreadsheetml.worksheet+xml">
        <DigestMethod Algorithm="http://www.w3.org/2001/04/xmlenc#sha256"/>
        <DigestValue>3tk2QV6x4CiBR3yrLZRgQWq6mSlSh/60OhHP9iE8HmA=</DigestValue>
      </Reference>
      <Reference URI="/xl/worksheets/sheet37.xml?ContentType=application/vnd.openxmlformats-officedocument.spreadsheetml.worksheet+xml">
        <DigestMethod Algorithm="http://www.w3.org/2001/04/xmlenc#sha256"/>
        <DigestValue>xQcXbZVflhdyOGfnsQMfGKWgUhxbT473QQ9+Lot6/Zk=</DigestValue>
      </Reference>
      <Reference URI="/xl/worksheets/sheet38.xml?ContentType=application/vnd.openxmlformats-officedocument.spreadsheetml.worksheet+xml">
        <DigestMethod Algorithm="http://www.w3.org/2001/04/xmlenc#sha256"/>
        <DigestValue>mJMN7bsYfFGvW8AHlmxi7HMr87BowQNmMV1d5TeVcF8=</DigestValue>
      </Reference>
      <Reference URI="/xl/worksheets/sheet39.xml?ContentType=application/vnd.openxmlformats-officedocument.spreadsheetml.worksheet+xml">
        <DigestMethod Algorithm="http://www.w3.org/2001/04/xmlenc#sha256"/>
        <DigestValue>o4o/2GByYzWfCShOz82vf7xOSFiiDmW7Ukd4n5viKRU=</DigestValue>
      </Reference>
      <Reference URI="/xl/worksheets/sheet4.xml?ContentType=application/vnd.openxmlformats-officedocument.spreadsheetml.worksheet+xml">
        <DigestMethod Algorithm="http://www.w3.org/2001/04/xmlenc#sha256"/>
        <DigestValue>HFISsmfiiTUemKtqS9S2AZmqnSduKhgGnry/86Y75lc=</DigestValue>
      </Reference>
      <Reference URI="/xl/worksheets/sheet40.xml?ContentType=application/vnd.openxmlformats-officedocument.spreadsheetml.worksheet+xml">
        <DigestMethod Algorithm="http://www.w3.org/2001/04/xmlenc#sha256"/>
        <DigestValue>TO/82acYCtyuyA+jwJvbUP2T7DdnI20FzBI2ndJ1pKA=</DigestValue>
      </Reference>
      <Reference URI="/xl/worksheets/sheet41.xml?ContentType=application/vnd.openxmlformats-officedocument.spreadsheetml.worksheet+xml">
        <DigestMethod Algorithm="http://www.w3.org/2001/04/xmlenc#sha256"/>
        <DigestValue>bmKVEfVtD0rQerowU2H3mFqjhQAFw00EyH1HbUsgYFE=</DigestValue>
      </Reference>
      <Reference URI="/xl/worksheets/sheet42.xml?ContentType=application/vnd.openxmlformats-officedocument.spreadsheetml.worksheet+xml">
        <DigestMethod Algorithm="http://www.w3.org/2001/04/xmlenc#sha256"/>
        <DigestValue>7+ATSMQSRBGQkHoY3C4BeIkiGZip1FUbOZPIZ0vjKto=</DigestValue>
      </Reference>
      <Reference URI="/xl/worksheets/sheet43.xml?ContentType=application/vnd.openxmlformats-officedocument.spreadsheetml.worksheet+xml">
        <DigestMethod Algorithm="http://www.w3.org/2001/04/xmlenc#sha256"/>
        <DigestValue>amFJfFVwtjXos+/2LSyDW2XAT1epe7UG7C1K1hGvKSk=</DigestValue>
      </Reference>
      <Reference URI="/xl/worksheets/sheet44.xml?ContentType=application/vnd.openxmlformats-officedocument.spreadsheetml.worksheet+xml">
        <DigestMethod Algorithm="http://www.w3.org/2001/04/xmlenc#sha256"/>
        <DigestValue>VZ0Zzp+T74EOl1JyOgb6URUR76sbo6WHiI/jHeD/ccs=</DigestValue>
      </Reference>
      <Reference URI="/xl/worksheets/sheet45.xml?ContentType=application/vnd.openxmlformats-officedocument.spreadsheetml.worksheet+xml">
        <DigestMethod Algorithm="http://www.w3.org/2001/04/xmlenc#sha256"/>
        <DigestValue>Uy2rK8AnNIHAYAhG8wB7c2QDTbnrRUGGqON7SVX9S48=</DigestValue>
      </Reference>
      <Reference URI="/xl/worksheets/sheet46.xml?ContentType=application/vnd.openxmlformats-officedocument.spreadsheetml.worksheet+xml">
        <DigestMethod Algorithm="http://www.w3.org/2001/04/xmlenc#sha256"/>
        <DigestValue>Ol1WDiDaQb90fOd025M7DN1l16BwzSPvFT5hopg/1Ow=</DigestValue>
      </Reference>
      <Reference URI="/xl/worksheets/sheet47.xml?ContentType=application/vnd.openxmlformats-officedocument.spreadsheetml.worksheet+xml">
        <DigestMethod Algorithm="http://www.w3.org/2001/04/xmlenc#sha256"/>
        <DigestValue>ACvXi67m2KJ6JaYSQ8/AzfO9ooCkheS2JouArRVdImI=</DigestValue>
      </Reference>
      <Reference URI="/xl/worksheets/sheet5.xml?ContentType=application/vnd.openxmlformats-officedocument.spreadsheetml.worksheet+xml">
        <DigestMethod Algorithm="http://www.w3.org/2001/04/xmlenc#sha256"/>
        <DigestValue>ByDQ3be0E7LYnJS4PQCU37w5a4qCEMOmz3/DGUJhD+g=</DigestValue>
      </Reference>
      <Reference URI="/xl/worksheets/sheet6.xml?ContentType=application/vnd.openxmlformats-officedocument.spreadsheetml.worksheet+xml">
        <DigestMethod Algorithm="http://www.w3.org/2001/04/xmlenc#sha256"/>
        <DigestValue>5sb6Gnp70npg4zoAA/saEVo8DBr7JfgY3kC8fsPMI4U=</DigestValue>
      </Reference>
      <Reference URI="/xl/worksheets/sheet7.xml?ContentType=application/vnd.openxmlformats-officedocument.spreadsheetml.worksheet+xml">
        <DigestMethod Algorithm="http://www.w3.org/2001/04/xmlenc#sha256"/>
        <DigestValue>YhmfAas0sV+vmc+DcVyCeaQXChDTPst+BBxHEAFCf7A=</DigestValue>
      </Reference>
      <Reference URI="/xl/worksheets/sheet8.xml?ContentType=application/vnd.openxmlformats-officedocument.spreadsheetml.worksheet+xml">
        <DigestMethod Algorithm="http://www.w3.org/2001/04/xmlenc#sha256"/>
        <DigestValue>ung8YHH7qjBiHybi9ymCmJ5MEZj4yu6KKiPmp/4h+rU=</DigestValue>
      </Reference>
      <Reference URI="/xl/worksheets/sheet9.xml?ContentType=application/vnd.openxmlformats-officedocument.spreadsheetml.worksheet+xml">
        <DigestMethod Algorithm="http://www.w3.org/2001/04/xmlenc#sha256"/>
        <DigestValue>Tnqe9+9LqPLdbPdrEV310LiZ/er+rR3/3mmbPTDeQSs=</DigestValue>
      </Reference>
    </Manifest>
    <SignatureProperties>
      <SignatureProperty Id="idSignatureTime" Target="#idPackageSignature">
        <mdssi:SignatureTime xmlns:mdssi="http://schemas.openxmlformats.org/package/2006/digital-signature">
          <mdssi:Format>YYYY-MM-DDThh:mm:ssTZD</mdssi:Format>
          <mdssi:Value>2025-05-12T19:32:50Z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DVP</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2025-05-12T19:32:50Z</xd:SigningTime>
          <xd:SigningCertificate>
            <xd:Cert>
              <xd:CertDigest>
                <DigestMethod Algorithm="http://www.w3.org/2001/04/xmlenc#sha256"/>
                <DigestValue>sKrxUcBkeAqGV/s/f5/S4Qw9THbqK7S6VZAxm/ytMnQ=</DigestValue>
              </xd:CertDigest>
              <xd:IssuerSerial>
                <X509IssuerName>C=PY, O=DOCUMENTA S.A., SERIALNUMBER=RUC80050172-1, CN=CA-DOCUMENTA S.A.</X509IssuerName>
                <X509SerialNumber>4383554462373377222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DVP</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RH2NaC8Ci7Bza2tuZ2Yu1nYHs5ZnDbNAqKGz7vmD7EA=</DigestValue>
    </Reference>
    <Reference Type="http://www.w3.org/2000/09/xmldsig#Object" URI="#idOfficeObject">
      <DigestMethod Algorithm="http://www.w3.org/2001/04/xmlenc#sha256"/>
      <DigestValue>MfA5J1UuSGtHIjAzNaHln8FGVHoU1+Lhsr84pXbuBSs=</DigestValue>
    </Reference>
    <Reference Type="http://uri.etsi.org/01903#SignedProperties" URI="#idSignedProperties">
      <Transforms>
        <Transform Algorithm="http://www.w3.org/TR/2001/REC-xml-c14n-20010315"/>
      </Transforms>
      <DigestMethod Algorithm="http://www.w3.org/2001/04/xmlenc#sha256"/>
      <DigestValue>gxPQjrkBFqXzg6dFBZr+waZKyCoNUY5eZxOtrwn9OLg=</DigestValue>
    </Reference>
  </SignedInfo>
  <SignatureValue>xRrvjG96MfNZZtmMmInN/8K7ozXVX4/6yVR/Y8DTbJnP31vf9S3zhqUUj4rlpxbz7eCMKgfCmw74
pWomOv3zTRjRquiult3FGwxi2ClB6I1zRpFPEbzewPH0J7xyIdxtCVXr/C33bpydE7wl2nI862p8
diPDFycsjQDvlOVLD1q0S6jJz6j+HylL1fJRtQvQvXPj7z4YVQ28BNa+zG/BJwu6Vcl5F57cr9ev
HkaEPXtyDzsNcFDxKNPfKaT+OOoUSHOLvi6GuIzN6+X24jY46tbS4dvNUPnvspqJ6P4HV2GAL5zF
Tbjubb8xHvy2DavcLlWOIrMvvket0ADPtCFL9g==</SignatureValue>
  <KeyInfo>
    <X509Data>
      <X509Certificate>MIIIdzCCBl+gAwIBAgIIZHtT4hMSAG0wDQYJKoZIhvcNAQELBQAwWjEaMBgGA1UEAwwRQ0EtRE9DVU1FTlRBIFMuQS4xFjAUBgNVBAUTDVJVQzgwMDUwMTcyLTExFzAVBgNVBAoMDkRPQ1VNRU5UQSBTLkEuMQswCQYDVQQGEwJQWTAeFw0yNTAyMjAxMzMwMDBaFw0yNzAyMjAxMzMwMDBaMIGuMR4wHAYDVQQDDBVBTlRPTklPIE1BQ0lFTCBST1RFTEExETAPBgNVBAUTCENJNzE5NjUwMRAwDgYDVQQqDAdBTlRPTklPMRYwFAYDVQQEDA1NQUNJRUwgUk9URUxBMQswCQYDVQQLDAJGMjE1MDMGA1UECgwsQ0VSVElGSUNBRE8gQ1VBTElGSUNBRE8gREUgRklSTUEgRUxFQ1RST05JQ0ExCzAJBgNVBAYTAlBZMIIBIjANBgkqhkiG9w0BAQEFAAOCAQ8AMIIBCgKCAQEA0SMsIcvOWSSNW/UdqpeRg0qkekWrFYRxCI440hWq4/4A8yiXTnPSMzRPC00XiRMGGTs4PeqktHIUFyO/Op9+yUda57buctR2eim3ijCuF+jC0FlBm3hDKqoQr+QeWh1AgKp945klo6wI/F2ByKVDowm+qks3O7CYtqnskFjTFM+bsiWvNCC4b71HE7V75AsuNTJicvi6koCDi10AG5s2CXvWz3N7Yq+sdzzDBjLKHXqvAcpC51urVVqNblnQ5GB/30Akoada++2WiVf1A/brNCs1tZ6nQ2Mo8Cc4JS2UUbUpl4nZ1HRkchUbQytqJ14bJrJPA0Mu6RIF/O7b1qXIuQIDAQABo4ID6jCCA+YwDAYDVR0TAQH/BAIwADAfBgNVHSMEGDAWgBShPYUrzdgslh85AgyfUztY2JULezCBlAYIKwYBBQUHAQEEgYcwgYQwVQYIKwYBBQUHMAKGSWh0dHBzOi8vd3d3LmRpZ2l0by5jb20ucHkvdXBsb2Fkcy9jZXJ0aWZpY2Fkby1kb2N1bWVudGEtc2EtMTUzNTExNzc3MS5jcnQwKwYIKwYBBQUHMAGGH2h0dHBzOi8vd3d3LmRpZ2l0by5jb20ucHkvb2NzcC8wTQYDVR0RBEYwRIEWYW5tYWNpZWxAa3Vyb3N1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KKfpm8X6zMB3sWpU3R3pkMRDPabMA4GA1UdDwEB/wQEAwIF4DANBgkqhkiG9w0BAQsFAAOCAgEAccX3ebHcMoviybQYSMJ9GqbW5LwvOyQLzu309PWcaQmd0AX2c2Jca/IQ4kUbHjP56FDFKBJrlOqE4EAoZpgk3Id4fMw5Zzki5oOJwQrZSAmk/FwTFl3JcCJRrS6kyCK+ok1Jyn6KMTcXGw3LJtHyE8xl6sPqbYl7hNTKk9pVBjgY1rpodqoqJyAO/kcuJbxRkVFVsFRra4Xtr23oeirV8CiCe/4helreqnrklVDVdOnsZoNghhZ0jigBWxltwKB87fXPKXB448cuiW/pEDEtqV/eqDpeqB3nh3t1/eutaCk0wrPpThUVajZXL0tkp8aS5V7lndixFjrrsjgjzF9gLd6uO2Yqxw8VtOTUCJoTUbPEgNB0dNaIWbzc7POnKlVG0haxXGN2ZNvPGTz2bJVH3WctaAHLZXuMNjNnEmuXXssfeZqGLOGSM5mxM/GdzCJNDp/edqloMm9NGyvwVDLTGf7L5FbeduCziIW1cVS8XSPWHwEE2MypAHr7aWIey1QAWfH2XFZw0nNlm9uXMs6fZU+srzZm49/a0PP1Je5bICDho2teTcR+qYpSAOj+ZJSnSWYJRwLPYULc/4V8CqzpAHSSviCKbVKJcbNBB+JHgy0i1uTGh/LlGutR50sSRgliujR8CZS0JtFUAiBU3xOr+cS56hT0wjxQ3zwkoMn9P4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45rYrGlyEJXzjXnHQU2WuDbCszhaaBBtn6RzfPEPkSk=</DigestValue>
      </Reference>
      <Reference URI="/xl/calcChain.xml?ContentType=application/vnd.openxmlformats-officedocument.spreadsheetml.calcChain+xml">
        <DigestMethod Algorithm="http://www.w3.org/2001/04/xmlenc#sha256"/>
        <DigestValue>igL5Wy9bnYWvGeREauhQ7ZaXrL8tn4dnoOYWBXa50P8=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ydEHTw4ODMGY9hX1vyx5wEhtP2VbrxF1KW5mPeXyHVE=</DigestValue>
      </Reference>
      <Reference URI="/xl/drawings/drawing2.xml?ContentType=application/vnd.openxmlformats-officedocument.drawing+xml">
        <DigestMethod Algorithm="http://www.w3.org/2001/04/xmlenc#sha256"/>
        <DigestValue>EOHlj2WD+Igy+Jk5+LNh5Vv7G8H2D1oSAgKAlISJBAc=</DigestValue>
      </Reference>
      <Reference URI="/xl/drawings/drawing3.xml?ContentType=application/vnd.openxmlformats-officedocument.drawing+xml">
        <DigestMethod Algorithm="http://www.w3.org/2001/04/xmlenc#sha256"/>
        <DigestValue>IUjQpl5gdkKrRymDHpMtAPH7wkS2HW1jQfCFXVxtenQ=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VZpySturZAbel9MB7YlBxg61xJ81OciJHQy1HRZ7HmE=</DigestValue>
      </Reference>
      <Reference URI="/xl/externalLinks/externalLink1.xml?ContentType=application/vnd.openxmlformats-officedocument.spreadsheetml.externalLink+xml">
        <DigestMethod Algorithm="http://www.w3.org/2001/04/xmlenc#sha256"/>
        <DigestValue>1K5qav3MWYTF7OA0Kp1FG5M8s7zeyFGUujd9R4tAXnk=</DigestValue>
      </Reference>
      <Reference URI="/xl/media/image1.png?ContentType=image/png">
        <DigestMethod Algorithm="http://www.w3.org/2001/04/xmlenc#sha256"/>
        <DigestValue>owlmADTj9r6aVajaLpe9Pk5lzdYbWQJp8/AhpiFro/k=</DigestValue>
      </Reference>
      <Reference URI="/xl/sharedStrings.xml?ContentType=application/vnd.openxmlformats-officedocument.spreadsheetml.sharedStrings+xml">
        <DigestMethod Algorithm="http://www.w3.org/2001/04/xmlenc#sha256"/>
        <DigestValue>6MRd+ZD7Qmkp1h5Trdn3j8qsg1WXv7jHcjIGLGUItpE=</DigestValue>
      </Reference>
      <Reference URI="/xl/styles.xml?ContentType=application/vnd.openxmlformats-officedocument.spreadsheetml.styles+xml">
        <DigestMethod Algorithm="http://www.w3.org/2001/04/xmlenc#sha256"/>
        <DigestValue>saY8g7UkCn8Zk0jHZl2TRSygh6LJ4QmAhdsD4ICPaMo=</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aAVxXQ3hb0QVfvZOrAKPkkJG5HZ5eiJdFDnOi3RALVg=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sheet1.xml?ContentType=application/vnd.openxmlformats-officedocument.spreadsheetml.worksheet+xml">
        <DigestMethod Algorithm="http://www.w3.org/2001/04/xmlenc#sha256"/>
        <DigestValue>8YctQeJ3xVcEKJUP4F+vZEHaXtamjk+TbATSUYkQkRs=</DigestValue>
      </Reference>
      <Reference URI="/xl/worksheets/sheet10.xml?ContentType=application/vnd.openxmlformats-officedocument.spreadsheetml.worksheet+xml">
        <DigestMethod Algorithm="http://www.w3.org/2001/04/xmlenc#sha256"/>
        <DigestValue>CuQncqWcoi+4GicDXWOqCRqB0R9JgpEsOw7GK7UFk4o=</DigestValue>
      </Reference>
      <Reference URI="/xl/worksheets/sheet11.xml?ContentType=application/vnd.openxmlformats-officedocument.spreadsheetml.worksheet+xml">
        <DigestMethod Algorithm="http://www.w3.org/2001/04/xmlenc#sha256"/>
        <DigestValue>pPWQFio5J6E6RiR4cr6o/u2jwmi+NC1+9itFBBCJnyk=</DigestValue>
      </Reference>
      <Reference URI="/xl/worksheets/sheet12.xml?ContentType=application/vnd.openxmlformats-officedocument.spreadsheetml.worksheet+xml">
        <DigestMethod Algorithm="http://www.w3.org/2001/04/xmlenc#sha256"/>
        <DigestValue>StDsZOmQnHfI/ZUvMPub6g9lEjKYgSq0CmOyurNpyvc=</DigestValue>
      </Reference>
      <Reference URI="/xl/worksheets/sheet13.xml?ContentType=application/vnd.openxmlformats-officedocument.spreadsheetml.worksheet+xml">
        <DigestMethod Algorithm="http://www.w3.org/2001/04/xmlenc#sha256"/>
        <DigestValue>pc2QnCp0zX8VnyS6CGfukGe9wJwd0fSfkI+gHUNvpLs=</DigestValue>
      </Reference>
      <Reference URI="/xl/worksheets/sheet14.xml?ContentType=application/vnd.openxmlformats-officedocument.spreadsheetml.worksheet+xml">
        <DigestMethod Algorithm="http://www.w3.org/2001/04/xmlenc#sha256"/>
        <DigestValue>iN/TlWWqhB2zwp16XoVUtCZOEl6AeB8GS+LvkKxjczA=</DigestValue>
      </Reference>
      <Reference URI="/xl/worksheets/sheet15.xml?ContentType=application/vnd.openxmlformats-officedocument.spreadsheetml.worksheet+xml">
        <DigestMethod Algorithm="http://www.w3.org/2001/04/xmlenc#sha256"/>
        <DigestValue>mmJ72E+iwvCEeBxTLhlIZqR5Qko25shfRJ3RQFLA6DE=</DigestValue>
      </Reference>
      <Reference URI="/xl/worksheets/sheet16.xml?ContentType=application/vnd.openxmlformats-officedocument.spreadsheetml.worksheet+xml">
        <DigestMethod Algorithm="http://www.w3.org/2001/04/xmlenc#sha256"/>
        <DigestValue>0DYQq7yTmhntdGYFtTeTzP3+TwHox2laEm/DpFbTn+E=</DigestValue>
      </Reference>
      <Reference URI="/xl/worksheets/sheet17.xml?ContentType=application/vnd.openxmlformats-officedocument.spreadsheetml.worksheet+xml">
        <DigestMethod Algorithm="http://www.w3.org/2001/04/xmlenc#sha256"/>
        <DigestValue>Qo+m6jCVoRy362DdTTHSYiZJMgt3RL7NIDzJy6wEEM8=</DigestValue>
      </Reference>
      <Reference URI="/xl/worksheets/sheet18.xml?ContentType=application/vnd.openxmlformats-officedocument.spreadsheetml.worksheet+xml">
        <DigestMethod Algorithm="http://www.w3.org/2001/04/xmlenc#sha256"/>
        <DigestValue>BCxvKWX7KMMhxLD2MXhWdgC46rn28qelQTJbfw/cFl8=</DigestValue>
      </Reference>
      <Reference URI="/xl/worksheets/sheet19.xml?ContentType=application/vnd.openxmlformats-officedocument.spreadsheetml.worksheet+xml">
        <DigestMethod Algorithm="http://www.w3.org/2001/04/xmlenc#sha256"/>
        <DigestValue>P2IKQGMZzj9kDU2D1uF/WQCG4AkjfiD6mQ5LK1yk0SY=</DigestValue>
      </Reference>
      <Reference URI="/xl/worksheets/sheet2.xml?ContentType=application/vnd.openxmlformats-officedocument.spreadsheetml.worksheet+xml">
        <DigestMethod Algorithm="http://www.w3.org/2001/04/xmlenc#sha256"/>
        <DigestValue>zO0yhQgrQAmNnMFacGnDw6xMtpIaBu1opXWbjO3v0S8=</DigestValue>
      </Reference>
      <Reference URI="/xl/worksheets/sheet20.xml?ContentType=application/vnd.openxmlformats-officedocument.spreadsheetml.worksheet+xml">
        <DigestMethod Algorithm="http://www.w3.org/2001/04/xmlenc#sha256"/>
        <DigestValue>DVVLwD/TCFlU2YIVxtTgON/YzRj1dF51O19v1aH75CY=</DigestValue>
      </Reference>
      <Reference URI="/xl/worksheets/sheet21.xml?ContentType=application/vnd.openxmlformats-officedocument.spreadsheetml.worksheet+xml">
        <DigestMethod Algorithm="http://www.w3.org/2001/04/xmlenc#sha256"/>
        <DigestValue>be0VIqwsFvHRNgvT2j7UyWeJazxsgCWAm7yw4eUOq2s=</DigestValue>
      </Reference>
      <Reference URI="/xl/worksheets/sheet22.xml?ContentType=application/vnd.openxmlformats-officedocument.spreadsheetml.worksheet+xml">
        <DigestMethod Algorithm="http://www.w3.org/2001/04/xmlenc#sha256"/>
        <DigestValue>KfYSAhWsPWSJEZDIij3jjWdzL2qfhhvDWu+mRzsXD5U=</DigestValue>
      </Reference>
      <Reference URI="/xl/worksheets/sheet23.xml?ContentType=application/vnd.openxmlformats-officedocument.spreadsheetml.worksheet+xml">
        <DigestMethod Algorithm="http://www.w3.org/2001/04/xmlenc#sha256"/>
        <DigestValue>lDcjClVY7q5rTXaI9qs/ILa1CRByMOQSpmDxjPcDiWw=</DigestValue>
      </Reference>
      <Reference URI="/xl/worksheets/sheet24.xml?ContentType=application/vnd.openxmlformats-officedocument.spreadsheetml.worksheet+xml">
        <DigestMethod Algorithm="http://www.w3.org/2001/04/xmlenc#sha256"/>
        <DigestValue>v8i4gNd2Mfj3O2z1XmebVCBZD9QMz9/GrUOwwusB0M0=</DigestValue>
      </Reference>
      <Reference URI="/xl/worksheets/sheet25.xml?ContentType=application/vnd.openxmlformats-officedocument.spreadsheetml.worksheet+xml">
        <DigestMethod Algorithm="http://www.w3.org/2001/04/xmlenc#sha256"/>
        <DigestValue>25MFxCI8S6z3U8Q2KZU1kqmIvdW3n/bBf7RXqvoepfs=</DigestValue>
      </Reference>
      <Reference URI="/xl/worksheets/sheet26.xml?ContentType=application/vnd.openxmlformats-officedocument.spreadsheetml.worksheet+xml">
        <DigestMethod Algorithm="http://www.w3.org/2001/04/xmlenc#sha256"/>
        <DigestValue>t/fKuI8PdjoVdDgJXUivricNZz0zyF67DGe3e7bsAPU=</DigestValue>
      </Reference>
      <Reference URI="/xl/worksheets/sheet27.xml?ContentType=application/vnd.openxmlformats-officedocument.spreadsheetml.worksheet+xml">
        <DigestMethod Algorithm="http://www.w3.org/2001/04/xmlenc#sha256"/>
        <DigestValue>mfw6rVUga/2/XcaCXyHQWraAyuF4JcitWBYHv5RDUGs=</DigestValue>
      </Reference>
      <Reference URI="/xl/worksheets/sheet28.xml?ContentType=application/vnd.openxmlformats-officedocument.spreadsheetml.worksheet+xml">
        <DigestMethod Algorithm="http://www.w3.org/2001/04/xmlenc#sha256"/>
        <DigestValue>enOwgAviUwu4zxX7Fn+NRQOMNSmfb1DoriYMCBMHBtM=</DigestValue>
      </Reference>
      <Reference URI="/xl/worksheets/sheet29.xml?ContentType=application/vnd.openxmlformats-officedocument.spreadsheetml.worksheet+xml">
        <DigestMethod Algorithm="http://www.w3.org/2001/04/xmlenc#sha256"/>
        <DigestValue>a4XvVALrTygmOZf/q3SBpEMSMTO+tJN0UOtRgKaVJS8=</DigestValue>
      </Reference>
      <Reference URI="/xl/worksheets/sheet3.xml?ContentType=application/vnd.openxmlformats-officedocument.spreadsheetml.worksheet+xml">
        <DigestMethod Algorithm="http://www.w3.org/2001/04/xmlenc#sha256"/>
        <DigestValue>BR2ms/mjJD8SgNwLE05C8XoHXgzHYPQ3R69L0Of69tc=</DigestValue>
      </Reference>
      <Reference URI="/xl/worksheets/sheet30.xml?ContentType=application/vnd.openxmlformats-officedocument.spreadsheetml.worksheet+xml">
        <DigestMethod Algorithm="http://www.w3.org/2001/04/xmlenc#sha256"/>
        <DigestValue>8kq8zEyacfDt7UUuUqfBAixnwPmwNwubXS057KSAVQk=</DigestValue>
      </Reference>
      <Reference URI="/xl/worksheets/sheet31.xml?ContentType=application/vnd.openxmlformats-officedocument.spreadsheetml.worksheet+xml">
        <DigestMethod Algorithm="http://www.w3.org/2001/04/xmlenc#sha256"/>
        <DigestValue>qSOGI/v/dmzS/JJ6z8uwSIp+wm2szZXEj7PHgEmo7Fc=</DigestValue>
      </Reference>
      <Reference URI="/xl/worksheets/sheet32.xml?ContentType=application/vnd.openxmlformats-officedocument.spreadsheetml.worksheet+xml">
        <DigestMethod Algorithm="http://www.w3.org/2001/04/xmlenc#sha256"/>
        <DigestValue>DVTaoBKyLnuzmRm5eV7fh/rMkuxWiWPV3aS5R8ZnUZQ=</DigestValue>
      </Reference>
      <Reference URI="/xl/worksheets/sheet33.xml?ContentType=application/vnd.openxmlformats-officedocument.spreadsheetml.worksheet+xml">
        <DigestMethod Algorithm="http://www.w3.org/2001/04/xmlenc#sha256"/>
        <DigestValue>tjvXAFel8MCGLhfC2iNF55TGa9J2VNN0u0tJaCc2J3g=</DigestValue>
      </Reference>
      <Reference URI="/xl/worksheets/sheet34.xml?ContentType=application/vnd.openxmlformats-officedocument.spreadsheetml.worksheet+xml">
        <DigestMethod Algorithm="http://www.w3.org/2001/04/xmlenc#sha256"/>
        <DigestValue>lS5Fd6Qm/vcWRguTlMSJ4C2tdlJh4fEm9mJwYGAmVJQ=</DigestValue>
      </Reference>
      <Reference URI="/xl/worksheets/sheet35.xml?ContentType=application/vnd.openxmlformats-officedocument.spreadsheetml.worksheet+xml">
        <DigestMethod Algorithm="http://www.w3.org/2001/04/xmlenc#sha256"/>
        <DigestValue>cbX5LAfBxfWCQ8aNCNC4EDE6JPASA23ZaGL//TW3u6A=</DigestValue>
      </Reference>
      <Reference URI="/xl/worksheets/sheet36.xml?ContentType=application/vnd.openxmlformats-officedocument.spreadsheetml.worksheet+xml">
        <DigestMethod Algorithm="http://www.w3.org/2001/04/xmlenc#sha256"/>
        <DigestValue>3tk2QV6x4CiBR3yrLZRgQWq6mSlSh/60OhHP9iE8HmA=</DigestValue>
      </Reference>
      <Reference URI="/xl/worksheets/sheet37.xml?ContentType=application/vnd.openxmlformats-officedocument.spreadsheetml.worksheet+xml">
        <DigestMethod Algorithm="http://www.w3.org/2001/04/xmlenc#sha256"/>
        <DigestValue>xQcXbZVflhdyOGfnsQMfGKWgUhxbT473QQ9+Lot6/Zk=</DigestValue>
      </Reference>
      <Reference URI="/xl/worksheets/sheet38.xml?ContentType=application/vnd.openxmlformats-officedocument.spreadsheetml.worksheet+xml">
        <DigestMethod Algorithm="http://www.w3.org/2001/04/xmlenc#sha256"/>
        <DigestValue>mJMN7bsYfFGvW8AHlmxi7HMr87BowQNmMV1d5TeVcF8=</DigestValue>
      </Reference>
      <Reference URI="/xl/worksheets/sheet39.xml?ContentType=application/vnd.openxmlformats-officedocument.spreadsheetml.worksheet+xml">
        <DigestMethod Algorithm="http://www.w3.org/2001/04/xmlenc#sha256"/>
        <DigestValue>o4o/2GByYzWfCShOz82vf7xOSFiiDmW7Ukd4n5viKRU=</DigestValue>
      </Reference>
      <Reference URI="/xl/worksheets/sheet4.xml?ContentType=application/vnd.openxmlformats-officedocument.spreadsheetml.worksheet+xml">
        <DigestMethod Algorithm="http://www.w3.org/2001/04/xmlenc#sha256"/>
        <DigestValue>HFISsmfiiTUemKtqS9S2AZmqnSduKhgGnry/86Y75lc=</DigestValue>
      </Reference>
      <Reference URI="/xl/worksheets/sheet40.xml?ContentType=application/vnd.openxmlformats-officedocument.spreadsheetml.worksheet+xml">
        <DigestMethod Algorithm="http://www.w3.org/2001/04/xmlenc#sha256"/>
        <DigestValue>TO/82acYCtyuyA+jwJvbUP2T7DdnI20FzBI2ndJ1pKA=</DigestValue>
      </Reference>
      <Reference URI="/xl/worksheets/sheet41.xml?ContentType=application/vnd.openxmlformats-officedocument.spreadsheetml.worksheet+xml">
        <DigestMethod Algorithm="http://www.w3.org/2001/04/xmlenc#sha256"/>
        <DigestValue>bmKVEfVtD0rQerowU2H3mFqjhQAFw00EyH1HbUsgYFE=</DigestValue>
      </Reference>
      <Reference URI="/xl/worksheets/sheet42.xml?ContentType=application/vnd.openxmlformats-officedocument.spreadsheetml.worksheet+xml">
        <DigestMethod Algorithm="http://www.w3.org/2001/04/xmlenc#sha256"/>
        <DigestValue>7+ATSMQSRBGQkHoY3C4BeIkiGZip1FUbOZPIZ0vjKto=</DigestValue>
      </Reference>
      <Reference URI="/xl/worksheets/sheet43.xml?ContentType=application/vnd.openxmlformats-officedocument.spreadsheetml.worksheet+xml">
        <DigestMethod Algorithm="http://www.w3.org/2001/04/xmlenc#sha256"/>
        <DigestValue>amFJfFVwtjXos+/2LSyDW2XAT1epe7UG7C1K1hGvKSk=</DigestValue>
      </Reference>
      <Reference URI="/xl/worksheets/sheet44.xml?ContentType=application/vnd.openxmlformats-officedocument.spreadsheetml.worksheet+xml">
        <DigestMethod Algorithm="http://www.w3.org/2001/04/xmlenc#sha256"/>
        <DigestValue>VZ0Zzp+T74EOl1JyOgb6URUR76sbo6WHiI/jHeD/ccs=</DigestValue>
      </Reference>
      <Reference URI="/xl/worksheets/sheet45.xml?ContentType=application/vnd.openxmlformats-officedocument.spreadsheetml.worksheet+xml">
        <DigestMethod Algorithm="http://www.w3.org/2001/04/xmlenc#sha256"/>
        <DigestValue>Uy2rK8AnNIHAYAhG8wB7c2QDTbnrRUGGqON7SVX9S48=</DigestValue>
      </Reference>
      <Reference URI="/xl/worksheets/sheet46.xml?ContentType=application/vnd.openxmlformats-officedocument.spreadsheetml.worksheet+xml">
        <DigestMethod Algorithm="http://www.w3.org/2001/04/xmlenc#sha256"/>
        <DigestValue>Ol1WDiDaQb90fOd025M7DN1l16BwzSPvFT5hopg/1Ow=</DigestValue>
      </Reference>
      <Reference URI="/xl/worksheets/sheet47.xml?ContentType=application/vnd.openxmlformats-officedocument.spreadsheetml.worksheet+xml">
        <DigestMethod Algorithm="http://www.w3.org/2001/04/xmlenc#sha256"/>
        <DigestValue>ACvXi67m2KJ6JaYSQ8/AzfO9ooCkheS2JouArRVdImI=</DigestValue>
      </Reference>
      <Reference URI="/xl/worksheets/sheet5.xml?ContentType=application/vnd.openxmlformats-officedocument.spreadsheetml.worksheet+xml">
        <DigestMethod Algorithm="http://www.w3.org/2001/04/xmlenc#sha256"/>
        <DigestValue>ByDQ3be0E7LYnJS4PQCU37w5a4qCEMOmz3/DGUJhD+g=</DigestValue>
      </Reference>
      <Reference URI="/xl/worksheets/sheet6.xml?ContentType=application/vnd.openxmlformats-officedocument.spreadsheetml.worksheet+xml">
        <DigestMethod Algorithm="http://www.w3.org/2001/04/xmlenc#sha256"/>
        <DigestValue>5sb6Gnp70npg4zoAA/saEVo8DBr7JfgY3kC8fsPMI4U=</DigestValue>
      </Reference>
      <Reference URI="/xl/worksheets/sheet7.xml?ContentType=application/vnd.openxmlformats-officedocument.spreadsheetml.worksheet+xml">
        <DigestMethod Algorithm="http://www.w3.org/2001/04/xmlenc#sha256"/>
        <DigestValue>YhmfAas0sV+vmc+DcVyCeaQXChDTPst+BBxHEAFCf7A=</DigestValue>
      </Reference>
      <Reference URI="/xl/worksheets/sheet8.xml?ContentType=application/vnd.openxmlformats-officedocument.spreadsheetml.worksheet+xml">
        <DigestMethod Algorithm="http://www.w3.org/2001/04/xmlenc#sha256"/>
        <DigestValue>ung8YHH7qjBiHybi9ymCmJ5MEZj4yu6KKiPmp/4h+rU=</DigestValue>
      </Reference>
      <Reference URI="/xl/worksheets/sheet9.xml?ContentType=application/vnd.openxmlformats-officedocument.spreadsheetml.worksheet+xml">
        <DigestMethod Algorithm="http://www.w3.org/2001/04/xmlenc#sha256"/>
        <DigestValue>Tnqe9+9LqPLdbPdrEV310LiZ/er+rR3/3mmbPTDeQSs=</DigestValue>
      </Reference>
    </Manifest>
    <SignatureProperties>
      <SignatureProperty Id="idSignatureTime" Target="#idPackageSignature">
        <mdssi:SignatureTime xmlns:mdssi="http://schemas.openxmlformats.org/package/2006/digital-signature">
          <mdssi:Format>YYYY-MM-DDThh:mm:ssTZD</mdssi:Format>
          <mdssi:Value>2025-05-13T17:50:22Z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Director Titular</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2025-05-13T17:50:22Z</xd:SigningTime>
          <xd:SigningCertificate>
            <xd:Cert>
              <xd:CertDigest>
                <DigestMethod Algorithm="http://www.w3.org/2001/04/xmlenc#sha256"/>
                <DigestValue>tbClC8fd1q74yyL7tBGo925KAqDME5pFP+rst+PAsrg=</DigestValue>
              </xd:CertDigest>
              <xd:IssuerSerial>
                <X509IssuerName>C=PY, O=DOCUMENTA S.A., SERIALNUMBER=RUC80050172-1, CN=CA-DOCUMENTA S.A.</X509IssuerName>
                <X509SerialNumber>7240473056375865453</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Director Titular</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Template/>
  <TotalTime>934</TotalTime>
  <Application>Microsoft Excel</Application>
  <DocSecurity>0</DocSecurity>
  <ScaleCrop>false</ScaleCrop>
  <HeadingPairs>
    <vt:vector size="4" baseType="variant">
      <vt:variant>
        <vt:lpstr>Hojas de cálculo</vt:lpstr>
      </vt:variant>
      <vt:variant>
        <vt:i4>47</vt:i4>
      </vt:variant>
      <vt:variant>
        <vt:lpstr>Rangos con nombre</vt:lpstr>
      </vt:variant>
      <vt:variant>
        <vt:i4>2</vt:i4>
      </vt:variant>
    </vt:vector>
  </HeadingPairs>
  <TitlesOfParts>
    <vt:vector size="49" baseType="lpstr">
      <vt:lpstr>Indice</vt:lpstr>
      <vt:lpstr>Información General</vt:lpstr>
      <vt:lpstr>BG</vt:lpstr>
      <vt:lpstr>ER</vt:lpstr>
      <vt:lpstr>EVPN</vt:lpstr>
      <vt:lpstr>EFE</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19</vt:lpstr>
      <vt:lpstr>Nota 18</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'Información General'!_Toc82092290</vt:lpstr>
      <vt:lpstr>ER!Área_de_impresión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dc:description/>
  <cp:lastModifiedBy>Ana Ortigoza</cp:lastModifiedBy>
  <cp:revision>158</cp:revision>
  <cp:lastPrinted>2025-05-12T15:59:34Z</cp:lastPrinted>
  <dcterms:created xsi:type="dcterms:W3CDTF">2019-05-02T15:06:12Z</dcterms:created>
  <dcterms:modified xsi:type="dcterms:W3CDTF">2025-05-12T18:50:44Z</dcterms:modified>
  <dc:language>es-PY</dc:language>
</cp:coreProperties>
</file>